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Users\tgabunia\Desktop\CORONAVIRUS\Donor Matrixs\"/>
    </mc:Choice>
  </mc:AlternateContent>
  <bookViews>
    <workbookView xWindow="0" yWindow="0" windowWidth="20490" windowHeight="7650"/>
  </bookViews>
  <sheets>
    <sheet name="Summary" sheetId="9" r:id="rId1"/>
    <sheet name="Critical Medical Consumables" sheetId="2" r:id="rId2"/>
    <sheet name="PCR reagents and consumables" sheetId="3" r:id="rId3"/>
    <sheet name="Total PCR Reagents and consumab" sheetId="6" r:id="rId4"/>
    <sheet name="PPE" sheetId="4" r:id="rId5"/>
    <sheet name="Total PPE" sheetId="7" r:id="rId6"/>
    <sheet name="Hospital Equipment" sheetId="5" r:id="rId7"/>
    <sheet name="Total HosEq" sheetId="8" r:id="rId8"/>
  </sheets>
  <definedNames>
    <definedName name="_xlnm._FilterDatabase" localSheetId="6" hidden="1">'Hospital Equipment'!$A$2:$C$161</definedName>
    <definedName name="_xlnm._FilterDatabase" localSheetId="2" hidden="1">'PCR reagents and consumables'!$A$2:$A$68</definedName>
    <definedName name="_xlnm._FilterDatabase" localSheetId="4" hidden="1">PPE!$B$2:$B$44</definedName>
    <definedName name="_xlnm.Extract" localSheetId="6">'Hospital Equipment'!#REF!</definedName>
    <definedName name="_xlnm.Extract" localSheetId="2">'PCR reagents and consumables'!$H$2</definedName>
    <definedName name="_xlnm.Extract" localSheetId="4">PPE!$H$2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7" i="9" l="1"/>
  <c r="B8" i="9" s="1"/>
  <c r="B6" i="9"/>
  <c r="B5" i="9"/>
  <c r="D38" i="2"/>
  <c r="D37" i="2"/>
  <c r="D36" i="2"/>
  <c r="B4" i="9"/>
  <c r="D123" i="8"/>
  <c r="D122" i="8"/>
  <c r="P35" i="5"/>
  <c r="P15" i="5"/>
  <c r="P16" i="5"/>
  <c r="P17" i="5"/>
  <c r="P18" i="5"/>
  <c r="P19" i="5"/>
  <c r="P20" i="5"/>
  <c r="P21" i="5"/>
  <c r="P22" i="5"/>
  <c r="P23" i="5"/>
  <c r="P24" i="5"/>
  <c r="P25" i="5"/>
  <c r="P26" i="5"/>
  <c r="P27" i="5"/>
  <c r="P28" i="5"/>
  <c r="P29" i="5"/>
  <c r="P31" i="5"/>
  <c r="P32" i="5"/>
  <c r="P33" i="5"/>
  <c r="P34" i="5"/>
  <c r="M31" i="5"/>
  <c r="M29" i="5"/>
  <c r="M28" i="5"/>
  <c r="M27" i="5"/>
  <c r="M26" i="5"/>
  <c r="M25" i="5"/>
  <c r="M24" i="5"/>
  <c r="M23" i="5"/>
  <c r="M22" i="5"/>
  <c r="M21" i="5"/>
  <c r="M20" i="5"/>
  <c r="M17" i="5"/>
  <c r="M16" i="5"/>
  <c r="M15" i="5"/>
  <c r="M7" i="5"/>
  <c r="M6" i="5"/>
  <c r="M5" i="5"/>
  <c r="M4" i="5"/>
  <c r="M3" i="5"/>
  <c r="M2" i="5"/>
  <c r="M19" i="5"/>
  <c r="M18" i="5"/>
  <c r="B3" i="9"/>
  <c r="D24" i="7"/>
  <c r="S35" i="4"/>
  <c r="S3" i="4"/>
  <c r="S4" i="4"/>
  <c r="S5" i="4"/>
  <c r="S6" i="4"/>
  <c r="S7" i="4"/>
  <c r="S8" i="4"/>
  <c r="S9" i="4"/>
  <c r="S10" i="4"/>
  <c r="S11" i="4"/>
  <c r="S12" i="4"/>
  <c r="S13" i="4"/>
  <c r="S14" i="4"/>
  <c r="S15" i="4"/>
  <c r="S16" i="4"/>
  <c r="S17" i="4"/>
  <c r="S18" i="4"/>
  <c r="S19" i="4"/>
  <c r="S20" i="4"/>
  <c r="S21" i="4"/>
  <c r="S22" i="4"/>
  <c r="S23" i="4"/>
  <c r="S24" i="4"/>
  <c r="S25" i="4"/>
  <c r="S26" i="4"/>
  <c r="S27" i="4"/>
  <c r="S28" i="4"/>
  <c r="S29" i="4"/>
  <c r="S30" i="4"/>
  <c r="S31" i="4"/>
  <c r="S32" i="4"/>
  <c r="S33" i="4"/>
  <c r="S34" i="4"/>
  <c r="S2" i="4"/>
  <c r="K31" i="3"/>
  <c r="K30" i="3"/>
  <c r="K29" i="3"/>
  <c r="K28" i="3"/>
  <c r="K27" i="3"/>
  <c r="K26" i="3"/>
  <c r="K24" i="3"/>
  <c r="K23" i="3"/>
  <c r="K22" i="3"/>
  <c r="K21" i="3"/>
  <c r="K20" i="3"/>
  <c r="K17" i="3"/>
  <c r="K16" i="3"/>
  <c r="K15" i="3"/>
  <c r="K14" i="3"/>
  <c r="K13" i="3"/>
  <c r="K12" i="3"/>
  <c r="K11" i="3"/>
  <c r="K10" i="3"/>
  <c r="K9" i="3"/>
  <c r="K8" i="3"/>
  <c r="K7" i="3"/>
  <c r="K6" i="3"/>
  <c r="K5" i="3"/>
  <c r="K4" i="3"/>
  <c r="K3" i="3"/>
  <c r="K18" i="3"/>
  <c r="K19" i="3"/>
  <c r="K25" i="3"/>
  <c r="K2" i="3"/>
  <c r="P2" i="4"/>
  <c r="P31" i="4"/>
  <c r="P30" i="4"/>
  <c r="P29" i="4"/>
  <c r="P28" i="4"/>
  <c r="P27" i="4"/>
  <c r="P26" i="4"/>
  <c r="P25" i="4"/>
  <c r="P24" i="4"/>
  <c r="P23" i="4"/>
  <c r="P22" i="4"/>
  <c r="P21" i="4"/>
  <c r="P20" i="4"/>
  <c r="P18" i="4"/>
  <c r="P19" i="4"/>
  <c r="P32" i="4"/>
  <c r="P33" i="4"/>
  <c r="P34" i="4"/>
  <c r="P17" i="4"/>
  <c r="P16" i="4"/>
  <c r="P15" i="4"/>
  <c r="P14" i="4"/>
  <c r="P13" i="4"/>
  <c r="P12" i="4"/>
  <c r="P11" i="4"/>
  <c r="P10" i="4"/>
  <c r="P9" i="4"/>
  <c r="P8" i="4"/>
  <c r="P7" i="4"/>
  <c r="P5" i="4"/>
  <c r="P6" i="4"/>
  <c r="P4" i="4"/>
  <c r="P3" i="4"/>
  <c r="D121" i="8"/>
  <c r="D3" i="8"/>
  <c r="D4" i="8"/>
  <c r="D5" i="8"/>
  <c r="D6" i="8"/>
  <c r="D7" i="8"/>
  <c r="D8" i="8"/>
  <c r="D9" i="8"/>
  <c r="D10" i="8"/>
  <c r="D11" i="8"/>
  <c r="D12" i="8"/>
  <c r="D13" i="8"/>
  <c r="D14" i="8"/>
  <c r="D15" i="8"/>
  <c r="D16" i="8"/>
  <c r="D17" i="8"/>
  <c r="D18" i="8"/>
  <c r="D19" i="8"/>
  <c r="D20" i="8"/>
  <c r="D21" i="8"/>
  <c r="D22" i="8"/>
  <c r="D23" i="8"/>
  <c r="D24" i="8"/>
  <c r="D25" i="8"/>
  <c r="D26" i="8"/>
  <c r="D27" i="8"/>
  <c r="D28" i="8"/>
  <c r="D29" i="8"/>
  <c r="D30" i="8"/>
  <c r="D31" i="8"/>
  <c r="D32" i="8"/>
  <c r="D33" i="8"/>
  <c r="D34" i="8"/>
  <c r="D35" i="8"/>
  <c r="D36" i="8"/>
  <c r="D37" i="8"/>
  <c r="D38" i="8"/>
  <c r="D39" i="8"/>
  <c r="D40" i="8"/>
  <c r="D41" i="8"/>
  <c r="D42" i="8"/>
  <c r="D43" i="8"/>
  <c r="D44" i="8"/>
  <c r="D45" i="8"/>
  <c r="D46" i="8"/>
  <c r="D47" i="8"/>
  <c r="D48" i="8"/>
  <c r="D49" i="8"/>
  <c r="D50" i="8"/>
  <c r="D51" i="8"/>
  <c r="D52" i="8"/>
  <c r="D53" i="8"/>
  <c r="D54" i="8"/>
  <c r="D55" i="8"/>
  <c r="D56" i="8"/>
  <c r="D57" i="8"/>
  <c r="D58" i="8"/>
  <c r="D59" i="8"/>
  <c r="D60" i="8"/>
  <c r="D61" i="8"/>
  <c r="D62" i="8"/>
  <c r="D63" i="8"/>
  <c r="D64" i="8"/>
  <c r="D65" i="8"/>
  <c r="D66" i="8"/>
  <c r="D67" i="8"/>
  <c r="D68" i="8"/>
  <c r="D69" i="8"/>
  <c r="D70" i="8"/>
  <c r="D71" i="8"/>
  <c r="D72" i="8"/>
  <c r="D73" i="8"/>
  <c r="D74" i="8"/>
  <c r="D75" i="8"/>
  <c r="D76" i="8"/>
  <c r="D77" i="8"/>
  <c r="D78" i="8"/>
  <c r="D79" i="8"/>
  <c r="D80" i="8"/>
  <c r="D81" i="8"/>
  <c r="D82" i="8"/>
  <c r="D83" i="8"/>
  <c r="D84" i="8"/>
  <c r="D85" i="8"/>
  <c r="D86" i="8"/>
  <c r="D87" i="8"/>
  <c r="D88" i="8"/>
  <c r="D89" i="8"/>
  <c r="D90" i="8"/>
  <c r="D91" i="8"/>
  <c r="D92" i="8"/>
  <c r="D93" i="8"/>
  <c r="D94" i="8"/>
  <c r="D95" i="8"/>
  <c r="D96" i="8"/>
  <c r="D97" i="8"/>
  <c r="D98" i="8"/>
  <c r="D99" i="8"/>
  <c r="D100" i="8"/>
  <c r="D101" i="8"/>
  <c r="D102" i="8"/>
  <c r="D103" i="8"/>
  <c r="D104" i="8"/>
  <c r="D105" i="8"/>
  <c r="D106" i="8"/>
  <c r="D107" i="8"/>
  <c r="D108" i="8"/>
  <c r="D109" i="8"/>
  <c r="D110" i="8"/>
  <c r="D111" i="8"/>
  <c r="D112" i="8"/>
  <c r="D113" i="8"/>
  <c r="D114" i="8"/>
  <c r="D115" i="8"/>
  <c r="D116" i="8"/>
  <c r="D117" i="8"/>
  <c r="D118" i="8"/>
  <c r="D119" i="8"/>
  <c r="D120" i="8"/>
  <c r="D2" i="8"/>
  <c r="J40" i="5"/>
  <c r="I40" i="5"/>
  <c r="I38" i="5"/>
  <c r="J13" i="5"/>
  <c r="J14" i="5"/>
  <c r="J15" i="5"/>
  <c r="J16" i="5"/>
  <c r="J17" i="5"/>
  <c r="J18" i="5"/>
  <c r="J19" i="5"/>
  <c r="J20" i="5"/>
  <c r="J21" i="5"/>
  <c r="J22" i="5"/>
  <c r="J23" i="5"/>
  <c r="J24" i="5"/>
  <c r="J25" i="5"/>
  <c r="J26" i="5"/>
  <c r="J27" i="5"/>
  <c r="J28" i="5"/>
  <c r="J29" i="5"/>
  <c r="J30" i="5"/>
  <c r="J31" i="5"/>
  <c r="J32" i="5"/>
  <c r="J33" i="5"/>
  <c r="J34" i="5"/>
  <c r="J35" i="5"/>
  <c r="J36" i="5"/>
  <c r="J37" i="5"/>
  <c r="J39" i="5"/>
  <c r="J41" i="5"/>
  <c r="J42" i="5"/>
  <c r="J43" i="5"/>
  <c r="J44" i="5"/>
  <c r="J45" i="5"/>
  <c r="J46" i="5"/>
  <c r="J47" i="5"/>
  <c r="J48" i="5"/>
  <c r="J49" i="5"/>
  <c r="J50" i="5"/>
  <c r="J51" i="5"/>
  <c r="J52" i="5"/>
  <c r="J53" i="5"/>
  <c r="J54" i="5"/>
  <c r="J55" i="5"/>
  <c r="J56" i="5"/>
  <c r="J57" i="5"/>
  <c r="J58" i="5"/>
  <c r="J59" i="5"/>
  <c r="J60" i="5"/>
  <c r="J61" i="5"/>
  <c r="J62" i="5"/>
  <c r="J63" i="5"/>
  <c r="J64" i="5"/>
  <c r="J65" i="5"/>
  <c r="J66" i="5"/>
  <c r="J67" i="5"/>
  <c r="J68" i="5"/>
  <c r="J69" i="5"/>
  <c r="J71" i="5"/>
  <c r="J72" i="5"/>
  <c r="J73" i="5"/>
  <c r="J74" i="5"/>
  <c r="J75" i="5"/>
  <c r="J76" i="5"/>
  <c r="J77" i="5"/>
  <c r="J78" i="5"/>
  <c r="J79" i="5"/>
  <c r="J80" i="5"/>
  <c r="J81" i="5"/>
  <c r="J82" i="5"/>
  <c r="J83" i="5"/>
  <c r="J84" i="5"/>
  <c r="J85" i="5"/>
  <c r="J86" i="5"/>
  <c r="J87" i="5"/>
  <c r="J88" i="5"/>
  <c r="J89" i="5"/>
  <c r="J90" i="5"/>
  <c r="J91" i="5"/>
  <c r="J92" i="5"/>
  <c r="J93" i="5"/>
  <c r="J94" i="5"/>
  <c r="J96" i="5"/>
  <c r="J97" i="5"/>
  <c r="J99" i="5"/>
  <c r="J100" i="5"/>
  <c r="J101" i="5"/>
  <c r="J102" i="5"/>
  <c r="J103" i="5"/>
  <c r="J104" i="5"/>
  <c r="J105" i="5"/>
  <c r="J106" i="5"/>
  <c r="J107" i="5"/>
  <c r="J108" i="5"/>
  <c r="J109" i="5"/>
  <c r="J110" i="5"/>
  <c r="J111" i="5"/>
  <c r="J112" i="5"/>
  <c r="J113" i="5"/>
  <c r="J114" i="5"/>
  <c r="J115" i="5"/>
  <c r="J116" i="5"/>
  <c r="J117" i="5"/>
  <c r="J118" i="5"/>
  <c r="J12" i="5"/>
  <c r="J9" i="5"/>
  <c r="J4" i="5"/>
  <c r="J11" i="5"/>
  <c r="J10" i="5"/>
  <c r="J3" i="5"/>
  <c r="J5" i="5"/>
  <c r="J6" i="5"/>
  <c r="J7" i="5"/>
  <c r="J8" i="5"/>
  <c r="J2" i="5"/>
  <c r="I3" i="5"/>
  <c r="D35" i="2"/>
  <c r="I4" i="5"/>
  <c r="I5" i="5"/>
  <c r="I6" i="5"/>
  <c r="I7" i="5"/>
  <c r="I8" i="5"/>
  <c r="I10" i="5"/>
  <c r="I11" i="5"/>
  <c r="I12" i="5"/>
  <c r="I13" i="5"/>
  <c r="I14" i="5"/>
  <c r="I15" i="5"/>
  <c r="I16" i="5"/>
  <c r="I17" i="5"/>
  <c r="I18" i="5"/>
  <c r="I19" i="5"/>
  <c r="I20" i="5"/>
  <c r="I21" i="5"/>
  <c r="I22" i="5"/>
  <c r="I23" i="5"/>
  <c r="I24" i="5"/>
  <c r="I25" i="5"/>
  <c r="I26" i="5"/>
  <c r="I27" i="5"/>
  <c r="I28" i="5"/>
  <c r="I29" i="5"/>
  <c r="I30" i="5"/>
  <c r="I31" i="5"/>
  <c r="I32" i="5"/>
  <c r="I33" i="5"/>
  <c r="I34" i="5"/>
  <c r="I35" i="5"/>
  <c r="I36" i="5"/>
  <c r="I37" i="5"/>
  <c r="I39" i="5"/>
  <c r="I41" i="5"/>
  <c r="I42" i="5"/>
  <c r="I43" i="5"/>
  <c r="I44" i="5"/>
  <c r="I45" i="5"/>
  <c r="I46" i="5"/>
  <c r="I47" i="5"/>
  <c r="I48" i="5"/>
  <c r="I49" i="5"/>
  <c r="I50" i="5"/>
  <c r="I51" i="5"/>
  <c r="I52" i="5"/>
  <c r="I53" i="5"/>
  <c r="I54" i="5"/>
  <c r="I55" i="5"/>
  <c r="I56" i="5"/>
  <c r="I57" i="5"/>
  <c r="I58" i="5"/>
  <c r="I59" i="5"/>
  <c r="I60" i="5"/>
  <c r="I61" i="5"/>
  <c r="I62" i="5"/>
  <c r="I63" i="5"/>
  <c r="I64" i="5"/>
  <c r="I65" i="5"/>
  <c r="I66" i="5"/>
  <c r="I67" i="5"/>
  <c r="I68" i="5"/>
  <c r="I69" i="5"/>
  <c r="I70" i="5"/>
  <c r="I71" i="5"/>
  <c r="I72" i="5"/>
  <c r="I73" i="5"/>
  <c r="I74" i="5"/>
  <c r="I75" i="5"/>
  <c r="I76" i="5"/>
  <c r="I77" i="5"/>
  <c r="I78" i="5"/>
  <c r="I79" i="5"/>
  <c r="I80" i="5"/>
  <c r="I81" i="5"/>
  <c r="I82" i="5"/>
  <c r="I83" i="5"/>
  <c r="I84" i="5"/>
  <c r="I85" i="5"/>
  <c r="I86" i="5"/>
  <c r="I87" i="5"/>
  <c r="I88" i="5"/>
  <c r="I89" i="5"/>
  <c r="I90" i="5"/>
  <c r="I91" i="5"/>
  <c r="I92" i="5"/>
  <c r="I93" i="5"/>
  <c r="I94" i="5"/>
  <c r="I95" i="5"/>
  <c r="I96" i="5"/>
  <c r="I97" i="5"/>
  <c r="I98" i="5"/>
  <c r="I99" i="5"/>
  <c r="I100" i="5"/>
  <c r="I101" i="5"/>
  <c r="I102" i="5"/>
  <c r="I103" i="5"/>
  <c r="I104" i="5"/>
  <c r="I105" i="5"/>
  <c r="I106" i="5"/>
  <c r="I107" i="5"/>
  <c r="I108" i="5"/>
  <c r="I109" i="5"/>
  <c r="I110" i="5"/>
  <c r="I111" i="5"/>
  <c r="I112" i="5"/>
  <c r="I113" i="5"/>
  <c r="I114" i="5"/>
  <c r="I115" i="5"/>
  <c r="I116" i="5"/>
  <c r="I117" i="5"/>
  <c r="I118" i="5"/>
  <c r="I2" i="5"/>
  <c r="D4" i="7"/>
  <c r="D8" i="7"/>
  <c r="D12" i="7"/>
  <c r="D16" i="7"/>
  <c r="D20" i="7"/>
  <c r="B3" i="7"/>
  <c r="D3" i="7" s="1"/>
  <c r="B4" i="7"/>
  <c r="B5" i="7"/>
  <c r="D5" i="7" s="1"/>
  <c r="B6" i="7"/>
  <c r="D6" i="7" s="1"/>
  <c r="B7" i="7"/>
  <c r="D7" i="7" s="1"/>
  <c r="B8" i="7"/>
  <c r="B9" i="7"/>
  <c r="D9" i="7" s="1"/>
  <c r="B10" i="7"/>
  <c r="D10" i="7" s="1"/>
  <c r="B11" i="7"/>
  <c r="D11" i="7" s="1"/>
  <c r="B12" i="7"/>
  <c r="B13" i="7"/>
  <c r="D13" i="7" s="1"/>
  <c r="B14" i="7"/>
  <c r="D14" i="7" s="1"/>
  <c r="B15" i="7"/>
  <c r="D15" i="7" s="1"/>
  <c r="B16" i="7"/>
  <c r="B17" i="7"/>
  <c r="D17" i="7" s="1"/>
  <c r="B18" i="7"/>
  <c r="D18" i="7" s="1"/>
  <c r="B19" i="7"/>
  <c r="D19" i="7" s="1"/>
  <c r="B20" i="7"/>
  <c r="B21" i="7"/>
  <c r="D21" i="7" s="1"/>
  <c r="B22" i="7"/>
  <c r="D22" i="7" s="1"/>
  <c r="B2" i="7"/>
  <c r="D2" i="7" s="1"/>
  <c r="F69" i="3"/>
  <c r="D47" i="6"/>
  <c r="D34" i="6"/>
  <c r="D37" i="6"/>
  <c r="D38" i="6"/>
  <c r="D41" i="6"/>
  <c r="D42" i="6"/>
  <c r="D45" i="6"/>
  <c r="D46" i="6"/>
  <c r="B34" i="6"/>
  <c r="B35" i="6"/>
  <c r="D35" i="6" s="1"/>
  <c r="B36" i="6"/>
  <c r="D36" i="6" s="1"/>
  <c r="B37" i="6"/>
  <c r="B38" i="6"/>
  <c r="B39" i="6"/>
  <c r="D39" i="6" s="1"/>
  <c r="B40" i="6"/>
  <c r="D40" i="6" s="1"/>
  <c r="B41" i="6"/>
  <c r="B42" i="6"/>
  <c r="B43" i="6"/>
  <c r="D43" i="6" s="1"/>
  <c r="B44" i="6"/>
  <c r="D44" i="6" s="1"/>
  <c r="B45" i="6"/>
  <c r="B46" i="6"/>
  <c r="B33" i="6"/>
  <c r="D33" i="6" s="1"/>
  <c r="B32" i="6"/>
  <c r="D32" i="6" s="1"/>
  <c r="B31" i="6"/>
  <c r="D31" i="6" s="1"/>
  <c r="D24" i="6"/>
  <c r="D25" i="6"/>
  <c r="D26" i="6"/>
  <c r="D27" i="6"/>
  <c r="D28" i="6"/>
  <c r="D29" i="6"/>
  <c r="D30" i="6"/>
  <c r="D3" i="6"/>
  <c r="D4" i="6"/>
  <c r="D5" i="6"/>
  <c r="D6" i="6"/>
  <c r="D7" i="6"/>
  <c r="D8" i="6"/>
  <c r="D9" i="6"/>
  <c r="D10" i="6"/>
  <c r="D11" i="6"/>
  <c r="D12" i="6"/>
  <c r="D13" i="6"/>
  <c r="D14" i="6"/>
  <c r="D15" i="6"/>
  <c r="D16" i="6"/>
  <c r="D17" i="6"/>
  <c r="D18" i="6"/>
  <c r="D19" i="6"/>
  <c r="D20" i="6"/>
  <c r="D21" i="6"/>
  <c r="D22" i="6"/>
  <c r="D23" i="6"/>
  <c r="D2" i="6"/>
  <c r="I9" i="3"/>
  <c r="I10" i="3"/>
  <c r="I11" i="3"/>
  <c r="I12" i="3"/>
  <c r="I13" i="3"/>
  <c r="I14" i="3"/>
  <c r="I15" i="3"/>
  <c r="I16" i="3"/>
  <c r="I17" i="3"/>
  <c r="I18" i="3"/>
  <c r="I19" i="3"/>
  <c r="I20" i="3"/>
  <c r="I21" i="3"/>
  <c r="I22" i="3"/>
  <c r="I23" i="3"/>
  <c r="I24" i="3"/>
  <c r="I25" i="3"/>
  <c r="I26" i="3"/>
  <c r="I27" i="3"/>
  <c r="I28" i="3"/>
  <c r="I29" i="3"/>
  <c r="I30" i="3"/>
  <c r="I31" i="3"/>
  <c r="I32" i="3"/>
  <c r="I33" i="3"/>
  <c r="I34" i="3"/>
  <c r="I35" i="3"/>
  <c r="I36" i="3"/>
  <c r="I37" i="3"/>
  <c r="I38" i="3"/>
  <c r="I39" i="3"/>
  <c r="I40" i="3"/>
  <c r="I41" i="3"/>
  <c r="I42" i="3"/>
  <c r="I43" i="3"/>
  <c r="I44" i="3"/>
  <c r="I45" i="3"/>
  <c r="I46" i="3"/>
  <c r="I47" i="3"/>
  <c r="I5" i="3"/>
  <c r="I6" i="3"/>
  <c r="I4" i="3"/>
  <c r="I3" i="3"/>
  <c r="I2" i="3"/>
  <c r="I8" i="3"/>
  <c r="D159" i="5"/>
  <c r="D160" i="5"/>
  <c r="D161" i="5"/>
  <c r="D158" i="5"/>
  <c r="C129" i="5"/>
  <c r="D129" i="5" s="1"/>
  <c r="D3" i="5"/>
  <c r="D4" i="5"/>
  <c r="D5" i="5"/>
  <c r="D6"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39" i="5"/>
  <c r="D40" i="5"/>
  <c r="D41" i="5"/>
  <c r="D42" i="5"/>
  <c r="D43" i="5"/>
  <c r="D44" i="5"/>
  <c r="D45" i="5"/>
  <c r="D46" i="5"/>
  <c r="D47" i="5"/>
  <c r="D48" i="5"/>
  <c r="D49" i="5"/>
  <c r="D50" i="5"/>
  <c r="D51" i="5"/>
  <c r="D52" i="5"/>
  <c r="D53" i="5"/>
  <c r="D54" i="5"/>
  <c r="D55" i="5"/>
  <c r="D56" i="5"/>
  <c r="D57" i="5"/>
  <c r="D58" i="5"/>
  <c r="D59" i="5"/>
  <c r="D60" i="5"/>
  <c r="D61" i="5"/>
  <c r="D62" i="5"/>
  <c r="D63" i="5"/>
  <c r="D64" i="5"/>
  <c r="D65" i="5"/>
  <c r="D66" i="5"/>
  <c r="D67" i="5"/>
  <c r="D68" i="5"/>
  <c r="D69" i="5"/>
  <c r="D70" i="5"/>
  <c r="D71" i="5"/>
  <c r="D72" i="5"/>
  <c r="D73" i="5"/>
  <c r="D74" i="5"/>
  <c r="D75" i="5"/>
  <c r="D76" i="5"/>
  <c r="D77" i="5"/>
  <c r="D78" i="5"/>
  <c r="D79" i="5"/>
  <c r="D80" i="5"/>
  <c r="D81" i="5"/>
  <c r="D82" i="5"/>
  <c r="D83" i="5"/>
  <c r="D84" i="5"/>
  <c r="D85" i="5"/>
  <c r="D86" i="5"/>
  <c r="D87" i="5"/>
  <c r="D88" i="5"/>
  <c r="D89" i="5"/>
  <c r="D90" i="5"/>
  <c r="D91" i="5"/>
  <c r="D92" i="5"/>
  <c r="D93" i="5"/>
  <c r="D94" i="5"/>
  <c r="D95" i="5"/>
  <c r="D96" i="5"/>
  <c r="D97" i="5"/>
  <c r="D98" i="5"/>
  <c r="D99" i="5"/>
  <c r="D100" i="5"/>
  <c r="D101" i="5"/>
  <c r="D102" i="5"/>
  <c r="D103" i="5"/>
  <c r="D104" i="5"/>
  <c r="D105" i="5"/>
  <c r="D106" i="5"/>
  <c r="D107" i="5"/>
  <c r="D108" i="5"/>
  <c r="D109" i="5"/>
  <c r="D110" i="5"/>
  <c r="D111" i="5"/>
  <c r="D112" i="5"/>
  <c r="D113" i="5"/>
  <c r="D114" i="5"/>
  <c r="D115" i="5"/>
  <c r="D116" i="5"/>
  <c r="D117" i="5"/>
  <c r="D118" i="5"/>
  <c r="D119" i="5"/>
  <c r="D120" i="5"/>
  <c r="D121" i="5"/>
  <c r="D122" i="5"/>
  <c r="D123" i="5"/>
  <c r="D124" i="5"/>
  <c r="D125" i="5"/>
  <c r="D126" i="5"/>
  <c r="D127" i="5"/>
  <c r="D128" i="5"/>
  <c r="D130" i="5"/>
  <c r="D131" i="5"/>
  <c r="D132" i="5"/>
  <c r="D133" i="5"/>
  <c r="D134" i="5"/>
  <c r="D136" i="5"/>
  <c r="D137" i="5"/>
  <c r="D138" i="5"/>
  <c r="D139" i="5"/>
  <c r="D140" i="5"/>
  <c r="D141" i="5"/>
  <c r="D142" i="5"/>
  <c r="D143" i="5"/>
  <c r="D144" i="5"/>
  <c r="D145" i="5"/>
  <c r="D146" i="5"/>
  <c r="D147" i="5"/>
  <c r="D148" i="5"/>
  <c r="D149" i="5"/>
  <c r="D150" i="5"/>
  <c r="D151" i="5"/>
  <c r="D152" i="5"/>
  <c r="D153" i="5"/>
  <c r="D154" i="5"/>
  <c r="D155" i="5"/>
  <c r="D156" i="5"/>
  <c r="D2" i="5"/>
  <c r="D162" i="5" s="1"/>
  <c r="E25" i="4"/>
  <c r="E26" i="4"/>
  <c r="E27" i="4"/>
  <c r="E28" i="4"/>
  <c r="E29" i="4"/>
  <c r="E30" i="4"/>
  <c r="E31" i="4"/>
  <c r="E32" i="4"/>
  <c r="E33" i="4"/>
  <c r="E34" i="4"/>
  <c r="E35" i="4"/>
  <c r="E36" i="4"/>
  <c r="E37" i="4"/>
  <c r="E38" i="4"/>
  <c r="E39" i="4"/>
  <c r="E40" i="4"/>
  <c r="E41" i="4"/>
  <c r="E42" i="4"/>
  <c r="E43" i="4"/>
  <c r="E44" i="4"/>
  <c r="E24" i="4"/>
  <c r="F54" i="3"/>
  <c r="F55" i="3"/>
  <c r="F56" i="3"/>
  <c r="F57" i="3"/>
  <c r="F58" i="3"/>
  <c r="F59" i="3"/>
  <c r="F60" i="3"/>
  <c r="F61" i="3"/>
  <c r="F62" i="3"/>
  <c r="F63" i="3"/>
  <c r="F64" i="3"/>
  <c r="F65" i="3"/>
  <c r="F66" i="3"/>
  <c r="F67" i="3"/>
  <c r="F68" i="3"/>
  <c r="F53" i="3"/>
  <c r="F37" i="3"/>
  <c r="F38" i="3"/>
  <c r="F39" i="3"/>
  <c r="F40" i="3"/>
  <c r="F41" i="3"/>
  <c r="F42" i="3"/>
  <c r="F43" i="3"/>
  <c r="F44" i="3"/>
  <c r="F45" i="3"/>
  <c r="F46" i="3"/>
  <c r="F47" i="3"/>
  <c r="F48" i="3"/>
  <c r="F49" i="3"/>
  <c r="F50" i="3"/>
  <c r="F51" i="3"/>
  <c r="F36" i="3"/>
  <c r="E3" i="4"/>
  <c r="E4" i="4"/>
  <c r="E5" i="4"/>
  <c r="E6" i="4"/>
  <c r="E7" i="4"/>
  <c r="E8" i="4"/>
  <c r="E9" i="4"/>
  <c r="E10" i="4"/>
  <c r="E11" i="4"/>
  <c r="E12" i="4"/>
  <c r="E13" i="4"/>
  <c r="E14" i="4"/>
  <c r="E15" i="4"/>
  <c r="E16" i="4"/>
  <c r="E17" i="4"/>
  <c r="E18" i="4"/>
  <c r="E19" i="4"/>
  <c r="E20" i="4"/>
  <c r="E21" i="4"/>
  <c r="E22" i="4"/>
  <c r="E2" i="4"/>
  <c r="F9" i="3"/>
  <c r="F10" i="3"/>
  <c r="F11" i="3"/>
  <c r="F12" i="3"/>
  <c r="F13" i="3"/>
  <c r="F14" i="3"/>
  <c r="F15" i="3"/>
  <c r="F16" i="3"/>
  <c r="F17" i="3"/>
  <c r="F18" i="3"/>
  <c r="F19" i="3"/>
  <c r="F20" i="3"/>
  <c r="F21" i="3"/>
  <c r="F22" i="3"/>
  <c r="F23" i="3"/>
  <c r="F24" i="3"/>
  <c r="F25" i="3"/>
  <c r="F26" i="3"/>
  <c r="F27" i="3"/>
  <c r="F28" i="3"/>
  <c r="F29" i="3"/>
  <c r="F30" i="3"/>
  <c r="F31" i="3"/>
  <c r="F32" i="3"/>
  <c r="F33" i="3"/>
  <c r="F34" i="3"/>
  <c r="F8" i="3"/>
  <c r="F3" i="3"/>
  <c r="F4" i="3"/>
  <c r="F5" i="3"/>
  <c r="F6" i="3"/>
  <c r="F2" i="3"/>
  <c r="D3" i="2"/>
  <c r="D4" i="2"/>
  <c r="D5" i="2"/>
  <c r="D6" i="2"/>
  <c r="D7" i="2"/>
  <c r="D8" i="2"/>
  <c r="D9" i="2"/>
  <c r="D10" i="2"/>
  <c r="D11" i="2"/>
  <c r="D12" i="2"/>
  <c r="D13" i="2"/>
  <c r="D14" i="2"/>
  <c r="D15" i="2"/>
  <c r="D16" i="2"/>
  <c r="D17" i="2"/>
  <c r="D18" i="2"/>
  <c r="D19" i="2"/>
  <c r="D20" i="2"/>
  <c r="D21" i="2"/>
  <c r="D22" i="2"/>
  <c r="D23" i="2"/>
  <c r="D24" i="2"/>
  <c r="D25" i="2"/>
  <c r="D26" i="2"/>
  <c r="D27" i="2"/>
  <c r="D28" i="2"/>
  <c r="D29" i="2"/>
  <c r="D30" i="2"/>
  <c r="D31" i="2"/>
  <c r="D32" i="2"/>
  <c r="D33" i="2"/>
  <c r="D34" i="2"/>
  <c r="D2" i="2"/>
  <c r="D23" i="7" l="1"/>
  <c r="D26" i="7" s="1"/>
  <c r="B2" i="9" s="1"/>
</calcChain>
</file>

<file path=xl/sharedStrings.xml><?xml version="1.0" encoding="utf-8"?>
<sst xmlns="http://schemas.openxmlformats.org/spreadsheetml/2006/main" count="898" uniqueCount="315">
  <si>
    <t>List of items</t>
  </si>
  <si>
    <t>No of units requested</t>
  </si>
  <si>
    <t>Unit price (average)</t>
  </si>
  <si>
    <t>Total</t>
  </si>
  <si>
    <t>Gloves</t>
  </si>
  <si>
    <t>Gowns</t>
  </si>
  <si>
    <t>Goggles</t>
  </si>
  <si>
    <t>Surgical masks</t>
  </si>
  <si>
    <t xml:space="preserve">N95 respirator masks </t>
  </si>
  <si>
    <t>N95 mask fit test kit</t>
  </si>
  <si>
    <t>Antibacterial liquid soap (liters)</t>
  </si>
  <si>
    <t>Alcohol-based hand rub (70%, liters)</t>
  </si>
  <si>
    <t>Chlorine-based cleaning solution for surfaces</t>
  </si>
  <si>
    <t>Disposable paper tissue rolls</t>
  </si>
  <si>
    <t>Thermometers (standard)</t>
  </si>
  <si>
    <t xml:space="preserve">Infrared thermometers </t>
  </si>
  <si>
    <t xml:space="preserve">portable transport ventilator for adults pediatric and neonatal patients, approved for use helicopters and airplanes </t>
  </si>
  <si>
    <t>Patient ventilator, for critical care</t>
  </si>
  <si>
    <t xml:space="preserve">ECG 12 lead </t>
  </si>
  <si>
    <t>ambulance car b type</t>
  </si>
  <si>
    <t>ambulance car c type (intensive care mobile unit)</t>
  </si>
  <si>
    <t>portable oxygen generation system (pogs)</t>
  </si>
  <si>
    <t>patient monitor for vital signs</t>
  </si>
  <si>
    <t>portable oxygen concentrator</t>
  </si>
  <si>
    <t>Extracorporeal membrane oxygenation machine</t>
  </si>
  <si>
    <t>Pulse oximeters</t>
  </si>
  <si>
    <t>Oxygen masks</t>
  </si>
  <si>
    <t>Portable HEPA filters, for negative pressure</t>
  </si>
  <si>
    <t>Test tubes with viral transport media</t>
  </si>
  <si>
    <t>Insulated transport boxes for moving lab material</t>
  </si>
  <si>
    <t>Hospital tents sets</t>
  </si>
  <si>
    <t>Waste bins</t>
  </si>
  <si>
    <t xml:space="preserve">Triple packaging boxes for international shipping of samples </t>
  </si>
  <si>
    <t>Set of Tetra standard hand Radio  station</t>
  </si>
  <si>
    <t>Set of Tetra standard Car Radio  station</t>
  </si>
  <si>
    <t>Tetra system dispatch control and monitoring set</t>
  </si>
  <si>
    <t>Defibrilator with patient monitoring system for adults and pediatric with multiple peds, cardio version function</t>
  </si>
  <si>
    <t>total</t>
  </si>
  <si>
    <t>Sample collection tubes with VTM and 2 plastic swab applicators</t>
  </si>
  <si>
    <t>QIAamp Viral RNA Mini Kit</t>
  </si>
  <si>
    <t>QIAGEN</t>
  </si>
  <si>
    <t>QIAamp Mini Collection Tubes</t>
  </si>
  <si>
    <t xml:space="preserve">QIAGEN </t>
  </si>
  <si>
    <t>AVL buffer for QIAamp Viral RNA Mini Kit</t>
  </si>
  <si>
    <t>AVE buffer QIAamp Viral RNA Mini Kit</t>
  </si>
  <si>
    <t>MagMax Core (100 rxn)</t>
  </si>
  <si>
    <t>Thermo</t>
  </si>
  <si>
    <t xml:space="preserve">A32700 </t>
  </si>
  <si>
    <t>MagMax Core (500 rxn)</t>
  </si>
  <si>
    <t xml:space="preserve">A32702 </t>
  </si>
  <si>
    <t>KingFisher Deepwell 96 Plate, V-bottom, polypropylene</t>
  </si>
  <si>
    <t>KingFisher 96 KF microplate (200μL)</t>
  </si>
  <si>
    <t>KingFisher 96 tip comb for DW magnets, 10 x 10 pcs/box</t>
  </si>
  <si>
    <t>Thermo Scientific™ Matrix™ Pipette Tips (960 per case)</t>
  </si>
  <si>
    <t>THERMOFISHER</t>
  </si>
  <si>
    <t>200 nmol, nCoV Forward primer (HKU-ORF1b-nsp14F):</t>
  </si>
  <si>
    <t>5’-TGGGGYTTTACRGGTAACCT-3’</t>
  </si>
  <si>
    <t>Eurofins</t>
  </si>
  <si>
    <t>200 nmol, nCoV Reverse primer (HKU- ORF1b-nsp14R)):</t>
  </si>
  <si>
    <t>5’-AACRCGCTTAACAAAGCACTC-3’</t>
  </si>
  <si>
    <t>200 nmol, nCoV Probe (HKU-ORF1b-nsp141P):</t>
  </si>
  <si>
    <t>5’-FAM-TAGTTGTGATGCWATCATGACTAG-TAMRA-3’</t>
  </si>
  <si>
    <t>200 nmol, nCoV Forward primer (HKU-NF):</t>
  </si>
  <si>
    <t xml:space="preserve">5’-TAATCAGACAAGGAACTGATTA-3’ </t>
  </si>
  <si>
    <t>200 nmol, nCoV Reverse primer (HKU-NR):</t>
  </si>
  <si>
    <t xml:space="preserve">5’-CGAAGGTGTGACTTCCATG-3’ </t>
  </si>
  <si>
    <t>200 nmol, nCoV Probe (HKU-NP):</t>
  </si>
  <si>
    <t>5’-FAM-GCAAATTGTGCAATTTGCGG-TAMRA-3’</t>
  </si>
  <si>
    <t>TaqMan™ Fast Virus 1-Step Master Mix</t>
  </si>
  <si>
    <t>AB</t>
  </si>
  <si>
    <t>Modular Wuhan CoV E-gene</t>
  </si>
  <si>
    <t>Roche</t>
  </si>
  <si>
    <t>Modular Wuhan CoV RdRP-gene</t>
  </si>
  <si>
    <t xml:space="preserve">LightCycler® Multiplex RNA Virus Master </t>
  </si>
  <si>
    <t>VIRAL RNA / DNA KIT</t>
  </si>
  <si>
    <t>Roboklon</t>
  </si>
  <si>
    <t>E3592-02</t>
  </si>
  <si>
    <t>Molecular grade Ethanol, 500 ml bottle</t>
  </si>
  <si>
    <t>any</t>
  </si>
  <si>
    <t>Item</t>
  </si>
  <si>
    <t>Number of Units</t>
  </si>
  <si>
    <t>Unit price</t>
  </si>
  <si>
    <t>WHO Code</t>
  </si>
  <si>
    <t>Lab technician PPE kit elements</t>
  </si>
  <si>
    <t>Qtity</t>
  </si>
  <si>
    <t>YMEQGLASWS1--A1</t>
  </si>
  <si>
    <t>GOGGLES PROTECTIVE, wraparound, soft frame, indirect vent.</t>
  </si>
  <si>
    <t>PEXTALCO1G---A1</t>
  </si>
  <si>
    <t>ALCOHOL-BASED HAND RUB, gel, 100mL, bottle</t>
  </si>
  <si>
    <t>EWASBAGBR007-A1</t>
  </si>
  <si>
    <t>BAG BIOHAZARD, REFUSE, AUTOCLAVABLE, 30x50cm, yellow</t>
  </si>
  <si>
    <t>EWASYCHN5G1--A1</t>
  </si>
  <si>
    <t>CHLORINE NaDCC, 45-55%, gran., 1kg, pot</t>
  </si>
  <si>
    <t>CPPEGOWI3L---A1</t>
  </si>
  <si>
    <t>GOWN, AAMI level 3, non sterile, disp., size L</t>
  </si>
  <si>
    <t>CPPEGOWI3M---A1</t>
  </si>
  <si>
    <t>GOWN, AAMI level 3, non sterile, disp., size M</t>
  </si>
  <si>
    <t>CPPEGOWI3XL--A1</t>
  </si>
  <si>
    <t>GOWN, AAMI level 3, non sterile, disp., size XL</t>
  </si>
  <si>
    <t>CPPEGOWI3XXL-A1</t>
  </si>
  <si>
    <t>GOWN, AAMI level 3, non sterile, disp., size XXL</t>
  </si>
  <si>
    <t>CMSUGLEN1L1--A1</t>
  </si>
  <si>
    <t>GLOVE EXAMINATION, nitrile, pf, size L</t>
  </si>
  <si>
    <t>CMSUGLEN1M1--A1</t>
  </si>
  <si>
    <t>GLOVE EXAMINATION, nitrile, pf, size M</t>
  </si>
  <si>
    <t>CMSUGLEN1S1--A1</t>
  </si>
  <si>
    <t>GLOVE EXAMINATION, nitrile, pf, size S</t>
  </si>
  <si>
    <t>CMSUGLEN1XL--A1</t>
  </si>
  <si>
    <t>GLOVE EXAMINATION, nitrile, pf, size XL</t>
  </si>
  <si>
    <t>CPPEMASS2RL--A1</t>
  </si>
  <si>
    <t>MASK SURGICAL, type IIR, level 2, s.u, non sterile, earloop, size L</t>
  </si>
  <si>
    <t>CPPEMASS2RM--A1</t>
  </si>
  <si>
    <t>MASK SURGICAL, type IIR, level 2, s.u, non sterile, earloop, size M</t>
  </si>
  <si>
    <t>CPPEMASS2RS--A1</t>
  </si>
  <si>
    <t>MASK SURGICAL, type IIR, level 2, s.u, non sterile, earloop, size S</t>
  </si>
  <si>
    <t>CPPEMASPF205-A1</t>
  </si>
  <si>
    <t>RESPIRATOR, mask, FFP2/N95, type IIR, s.u., unvalved, noseclip</t>
  </si>
  <si>
    <t>CPPEFSHIED02-A1</t>
  </si>
  <si>
    <t>FACE SHIELD, clear plastic, disp.</t>
  </si>
  <si>
    <t>CMSUTHERI01--A1</t>
  </si>
  <si>
    <t>THERMOMETER, INFRARED, no contact, handheld</t>
  </si>
  <si>
    <t>CINSCONTC51--A1</t>
  </si>
  <si>
    <t>SAFETY BOX, needles/syringes, 5l, cardboard for incineration</t>
  </si>
  <si>
    <t>OPACUN62BS1--A1</t>
  </si>
  <si>
    <t>BOX, triple packaging, biological substance UN3373 +pouch</t>
  </si>
  <si>
    <t>OPACUN62IS1--A1</t>
  </si>
  <si>
    <t>BOX, triple packaging, infectious substance UN2814</t>
  </si>
  <si>
    <t>nCov-2019 PCR  detection kit (primer &amp; control probe)</t>
  </si>
  <si>
    <t>For 200000 reaction (200 kits x 100 test)</t>
  </si>
  <si>
    <t>SuperScript™ III One-Step qRT-PCR System with Platinum™ Taq DNA Polymerase or similar</t>
  </si>
  <si>
    <t>Tris (1 M), pH 8.0, RNase-free</t>
  </si>
  <si>
    <t>5000ml (100mlx50)</t>
  </si>
  <si>
    <t>RT-PCR Grade Water</t>
  </si>
  <si>
    <t>PCR Tubes, 0.2 ml (250) , QIAGEN or similar</t>
  </si>
  <si>
    <t>200000 tubes (250 tubesx 800 paks)</t>
  </si>
  <si>
    <t>VIRAL RNA EXTRACTION KIT (QIAamp)  for RNA preps kit (250 or 100 or 50 tests)</t>
  </si>
  <si>
    <t>For 200000 extraction</t>
  </si>
  <si>
    <r>
      <t xml:space="preserve">TUBE CENTRIFUGE, PP, 15 ml, sterile, screw cap, rack-50, case-500 </t>
    </r>
    <r>
      <rPr>
        <sz val="10"/>
        <color rgb="FFFF0000"/>
        <rFont val="Arial"/>
        <family val="2"/>
      </rPr>
      <t>Thermo</t>
    </r>
  </si>
  <si>
    <t>20000 tubes (50 tubes x 400 rack)</t>
  </si>
  <si>
    <r>
      <t>DISINFECTANT VIRUCIDAL (Virkon) , 50 g, 5 l solution / tab, pack-50</t>
    </r>
    <r>
      <rPr>
        <sz val="10"/>
        <color rgb="FFFF0000"/>
        <rFont val="Arial"/>
        <family val="2"/>
      </rPr>
      <t>Park Scientific</t>
    </r>
  </si>
  <si>
    <t>10000 tabs (50 tabs x 200 pack)</t>
  </si>
  <si>
    <r>
      <t>PIPETTE TIP FILTER (Pipetman diamond) , 0.1 - 10 ul, ster., box-960</t>
    </r>
    <r>
      <rPr>
        <sz val="10"/>
        <color rgb="FFFF0000"/>
        <rFont val="Arial"/>
        <family val="2"/>
      </rPr>
      <t>Gilson</t>
    </r>
  </si>
  <si>
    <t>400000 tips (1000 tips x 400 box)</t>
  </si>
  <si>
    <t>PIPETTE TIP FILTER (Pipetman diamond) , 10 - 100 ul, ster., box-960</t>
  </si>
  <si>
    <t>800000 tips (1000 tips x 800 box)</t>
  </si>
  <si>
    <r>
      <t>PIPETTE TIP FILTER (Pipetman diamond) , 20 - 200 ul, ster., box-960</t>
    </r>
    <r>
      <rPr>
        <sz val="10"/>
        <color rgb="FFFF0000"/>
        <rFont val="Arial"/>
        <family val="2"/>
      </rPr>
      <t>Gilson</t>
    </r>
  </si>
  <si>
    <r>
      <t>PIPETTE TIP FILTER (Top-Line) , 100 - 1000 ul, ster., box-960 </t>
    </r>
    <r>
      <rPr>
        <sz val="10"/>
        <color rgb="FFFF0000"/>
        <rFont val="Arial"/>
        <family val="2"/>
      </rPr>
      <t>Gilson</t>
    </r>
  </si>
  <si>
    <r>
      <t>TUBE CRYOGENIC, PP, 2ml, ster., self stand., ext. thread + cap, natural, box-500 </t>
    </r>
    <r>
      <rPr>
        <sz val="10"/>
        <color rgb="FFFF0000"/>
        <rFont val="Arial"/>
        <family val="2"/>
      </rPr>
      <t>Greiner</t>
    </r>
  </si>
  <si>
    <t>200000 tubes (500 tubes x 400 box)</t>
  </si>
  <si>
    <r>
      <t>CENTRIFUGE Tube, PP, 1.5 ml, non ster., PCR clean, flat cap, pack-500 </t>
    </r>
    <r>
      <rPr>
        <sz val="10"/>
        <color rgb="FFFF0000"/>
        <rFont val="Arial"/>
        <family val="2"/>
      </rPr>
      <t>VWR</t>
    </r>
  </si>
  <si>
    <t xml:space="preserve"> 400000 tubes  (500 tubes x 800 box)</t>
  </si>
  <si>
    <t>swab with breakpoint and VTM (3mls) for collection of nasopharyngeal specimens (Sigma MW950SENT  74.7 GBP)</t>
  </si>
  <si>
    <t>200000 swabs</t>
  </si>
  <si>
    <t>decontaminant - RNAse AwayTM Fisher Scientific; cat. #21-236-21</t>
  </si>
  <si>
    <t xml:space="preserve"> 100 tubes x 250 ml</t>
  </si>
  <si>
    <t>For 20000 reaction (20 kits x 100 test)</t>
  </si>
  <si>
    <t>5000ml (100mlx5)</t>
  </si>
  <si>
    <t>20000 tubes (250 tubes x 80 packs)</t>
  </si>
  <si>
    <t>For 20000 extraction</t>
  </si>
  <si>
    <t>TUBE CENTRIFUGE, PP, 15 ml, sterile, screw cap, rack-50, case-500 Thermo</t>
  </si>
  <si>
    <t>20000 tubes (50 tubes x 40 rack)</t>
  </si>
  <si>
    <t>DISINFECTANT VIRUCIDAL (Virkon) , 50 g, 5 l solution / tab, pack-50Park Scientific</t>
  </si>
  <si>
    <t>10000 tabs (50 tabs x 20 pack)</t>
  </si>
  <si>
    <t>PIPETTE TIP FILTER (Pipetman diamond) , 0.1 - 10 ul, ster., box-960Gilson</t>
  </si>
  <si>
    <t>40000 tips (1000 tips x 40 box)</t>
  </si>
  <si>
    <t>80000 tips (1000 tips x 80 box)</t>
  </si>
  <si>
    <t>PIPETTE TIP FILTER (Pipetman diamond) , 20 - 200 ul, ster., box-960Gilson</t>
  </si>
  <si>
    <t>PIPETTE TIP FILTER (Top-Line) , 100 - 1000 ul, ster., box-960 Gilson</t>
  </si>
  <si>
    <t>TUBE CRYOGENIC, PP, 2ml, ster., self stand., ext. thread + cap, natural, box-500 Greiner</t>
  </si>
  <si>
    <t>20000 tubes (500 tubes x 40 box)</t>
  </si>
  <si>
    <t>CENTRIFUGE Tube, PP, 1.5 ml, non ster., PCR clean, flat cap, pack-500 VWR</t>
  </si>
  <si>
    <t xml:space="preserve"> 40000 tubes  (500 tubes x 80 box)</t>
  </si>
  <si>
    <t>20000 swabs</t>
  </si>
  <si>
    <t xml:space="preserve"> 10 tubes x 250 ml</t>
  </si>
  <si>
    <t>HOSPITAL EQUIPMENT ICU</t>
  </si>
  <si>
    <t>Pulmonary Ventilator: resuscitation model, works on compressed air and oxygen. With stand, universal (pediatric and adult) with invasive and non invasive breathing regimes.</t>
  </si>
  <si>
    <t>Pulmonary Ventilator: portable  (pediatric and adult) with oxygen tank  different breathing regimes.</t>
  </si>
  <si>
    <t xml:space="preserve">basic patient monitor system: (ECG, Resp, HR,  NIBP,Temp, SpO2,)  with touch screen. </t>
  </si>
  <si>
    <t xml:space="preserve">patient monitor ECG, Resp, HR,  NIBP,T2000$emp, SpO2, IBP, NIBP, LAN/WiFI (invasive) </t>
  </si>
  <si>
    <t xml:space="preserve">patient monitor ECG, Resp, HR,  NIBP,Temp, SpO2, NIP , IBP, CO2 lAN/WIFI (high class model for pediatric and adult use) </t>
  </si>
  <si>
    <t>patient monitor for transportation ECG, Resp, HR,  NIBP,Temp, SpO2</t>
  </si>
  <si>
    <t xml:space="preserve">central monitoring station: connects at least 30 monitors </t>
  </si>
  <si>
    <t>ICU bed: four-section ICU medical bed (with electric control) for adults, remote control, control panel on the sides, with locking function. Automatic CPR, Trendelenburg - / +; Max Weight of the patient 220 kg., Divided into appropriate sections, with a mattress resistant to washing-chemical treatment.</t>
  </si>
  <si>
    <t>ICU bed, pediatric: four-section resuscitation medical bed (with electric control) pediatric. Divided into appropriate sections, with a mattress resistant to washing-chemical processing</t>
  </si>
  <si>
    <t xml:space="preserve">anti pressure sores mattress with compressor control </t>
  </si>
  <si>
    <t>Defibrillator biphasic: 360 Julian, adult and pediatric with multiple electrodes, cardio version, self-test and diagnostic functions</t>
  </si>
  <si>
    <t>negatoscope  35*43</t>
  </si>
  <si>
    <t>medical Instrument table (manipulation table), rack, wheels,  protective surface barrier from 3 sides.</t>
  </si>
  <si>
    <t>medical cart: shock table, with drawers</t>
  </si>
  <si>
    <t>Syringe Pump: Compatible with different manufacturer's syringes (10-50mm or larger) must be able to change operating parameters, with built-in batteries and a proper alarm system.</t>
  </si>
  <si>
    <t>Infusion  pump, volumetric: Drip chamber,  compatible with different manufacturer systems</t>
  </si>
  <si>
    <t xml:space="preserve">pressure infusion bag </t>
  </si>
  <si>
    <t xml:space="preserve">high pressure surgical suction pump not less then 50 liters per minute . Two cans not less then 2 L </t>
  </si>
  <si>
    <t>12 channel cardiograph machine with cart for a4 paper:  Cable suspension,for  clamping  multiple use  electrodes and  use of adhesive electrodes</t>
  </si>
  <si>
    <t>Cabinet for medicines and consumables</t>
  </si>
  <si>
    <t>High-risk medication Wardrobe with lock</t>
  </si>
  <si>
    <t>Safe (medium size, cabin. 30 * 50 * 40 cm)</t>
  </si>
  <si>
    <t>LED mobile lights</t>
  </si>
  <si>
    <t>Wheelchair, to move the patient within the building</t>
  </si>
  <si>
    <t>privacy screen with 3-4 wings</t>
  </si>
  <si>
    <t>Video laryngoscope with different sized blades 2-2 pieces with multiple blades</t>
  </si>
  <si>
    <t>Laryngoscope set, Macintosh, with1,2,3,4 size  blades (high quality)</t>
  </si>
  <si>
    <t>Laryngoscope set, miller with 1,2,3,4 size  blades (high quality)</t>
  </si>
  <si>
    <t>Laryngoscope set, pediatric   with blades size 0.1 and higher  (high quality)</t>
  </si>
  <si>
    <t>Ambu - Masks for adults</t>
  </si>
  <si>
    <t>Ambu - Masks pediatric</t>
  </si>
  <si>
    <t xml:space="preserve">Portable oxigen tank  5-10 liters, with reductor (with DIN standard  fowmeter) </t>
  </si>
  <si>
    <t>glucometer with  strips</t>
  </si>
  <si>
    <t>Stainless steel Shelves</t>
  </si>
  <si>
    <t>Gas and electrolyte analyzer, with appropriate reagents for at least 100 tests</t>
  </si>
  <si>
    <t>X-ray machine, mobile: fully digital, integrated with a high-resolution screen that will instantly display the patient's image. Wireless Detector 35 * 35 or larger, generator with not less than 15KW power, with integrated power supply that provides imaging  for at least 30 patients with maximum power. It should be easy to move eround  clinic. LAN / WIFi support, 230V / 50Hz.</t>
  </si>
  <si>
    <t>Ultrasound diagnostic device, portable, high class, with at least 3 transducers, with proper cart, integrated batteries. General tests Color Doppler display, Cardiology. With abdominal, linear, and cardio transduction</t>
  </si>
  <si>
    <t>Flowmeter with Moisturizing Cup: Flumeter with Medical Oxygen Standard DIN Standard: High Resistance, Metal Monobloc, Scale Transparent Material (polyamide): 0-15 l / min; With regulator; Special different diaphragm adapter / transmitter and separate - appropriate moisturizing cup 250 ml or more;​</t>
  </si>
  <si>
    <t xml:space="preserve">bronchoscope </t>
  </si>
  <si>
    <t xml:space="preserve">gastroscope </t>
  </si>
  <si>
    <t>pump</t>
  </si>
  <si>
    <t xml:space="preserve">dialysis machine </t>
  </si>
  <si>
    <t>Solution heating system</t>
  </si>
  <si>
    <t>Portable pulse oximeter for adults</t>
  </si>
  <si>
    <t>Multiple use silicone contour with compatible valve</t>
  </si>
  <si>
    <t>ER</t>
  </si>
  <si>
    <t>ventilator: resuscitation model, works on compressed air and oxygen. With stand, universal (pediatric and adult) with invasive and noninvasive breathing regimes.</t>
  </si>
  <si>
    <t>ventilator: portable  (pediatric and adult) with oxygen tank  different breathing regimes.</t>
  </si>
  <si>
    <t xml:space="preserve">pediatric shock stretcher </t>
  </si>
  <si>
    <t>stretcher for adults, with maximum patient weight 200 kg or higher</t>
  </si>
  <si>
    <t>negatoscope  35*42</t>
  </si>
  <si>
    <t>Infusion pump, volumetric: Drip chamber,  compatible with different manufacturer systems</t>
  </si>
  <si>
    <t xml:space="preserve">high pressure surgical suction pump not less than 50 liters per minute . Two cans not less than 2 L </t>
  </si>
  <si>
    <t>12 channel cardiograph machine with cart for a4 paper:  Cable suspension, for  clamping  multiple use  electrodes and  use of adhesive electrodes</t>
  </si>
  <si>
    <t xml:space="preserve">Video laryngoscope with different sized blades,  2-2 pieces with multiple blades </t>
  </si>
  <si>
    <t xml:space="preserve">Portable oxygen tank  5-10 liters, with reductor (with DIN standard  flowmeter) </t>
  </si>
  <si>
    <t>mobile Ultrasound machine   high-end,  at least 4 transmitters, with cart, integrated batteries and  With different software capabilities.</t>
  </si>
  <si>
    <t>tool stand</t>
  </si>
  <si>
    <t>OR</t>
  </si>
  <si>
    <t>An anesthetic machine designed for adults and pediatric patients. With two evaporators, an anesthetic gas module. The color screen to  display various breathing parameters as well as the concentration of oxygen and  the percentage of anesthetic supplied in the air. The respiratory pneumatic module  should be washable and  sterilized</t>
  </si>
  <si>
    <t>Patient monitor, compatible with anesthetic apparatus. With at least a 15-inch screen. ECG, Resp, HR, NIBP, Temp, SpO2, NIPP, IBP, lAN / WIFI, OxyCRG (High Class Pediatric / Adult)</t>
  </si>
  <si>
    <t>Operational surgical lighting with LED technology, two satellites 150000/110000 lux. With the ability to adjust the light temperature range and brightness. With different software capabilities of the lights. With a high possibility of protection from shading. Additional sterile handles should be included in the kit.</t>
  </si>
  <si>
    <t>Operating Surgical Table. Electric or electric hydraulic. The patient's weight  less than 160 kg. With high quality washable mattress. Accessories: gynecological / urological legs, anesthetic stand,  infusion tripod.</t>
  </si>
  <si>
    <t>Surgical instruments set (general thoraco-abdominal, neuro, microsurgical)</t>
  </si>
  <si>
    <t xml:space="preserve">solution heating system </t>
  </si>
  <si>
    <t xml:space="preserve">patient heating system </t>
  </si>
  <si>
    <t>Radiology Unit</t>
  </si>
  <si>
    <t>Computer tomography: at least 64 layers, with different applications, with a special program compatible modern protocol for lung tests with subsequent appropriate updates in future. Gentry diameter not less than 72 cm, table load capacity,  not less than 220 kg; ; Set: digital printer for different sizes of tapes; Continuous power supply of appropriate capacity and characteristics, injector for 200 ml syringes, cart, remote control.</t>
  </si>
  <si>
    <t>Digital Xray</t>
  </si>
  <si>
    <t>Ultrosound machine</t>
  </si>
  <si>
    <t>Clinical Laboratory</t>
  </si>
  <si>
    <t>Hematological analyzer: 5-dip, standard and additional parameters, including CRP and NLP; With adequate reagents sufficient for at least 300 analyzes</t>
  </si>
  <si>
    <t>Biochemical analyzer, automatic-performance 220 tests / h or more (list of reagents provided  separately)</t>
  </si>
  <si>
    <t>automatic Immunological analyzer,  (list of reagents provided  separately)</t>
  </si>
  <si>
    <t>Coagulometer, automatic</t>
  </si>
  <si>
    <t>Urine analyzer, automatic</t>
  </si>
  <si>
    <t>Centrifuge, 10-1500 rpm; general</t>
  </si>
  <si>
    <t>Centrifuge, for small samples 2-20000b / min</t>
  </si>
  <si>
    <t>Pipette set (should include 5 mcg - 1000 mcl, with different scales)</t>
  </si>
  <si>
    <t>Dispenser, for adjustable dosing</t>
  </si>
  <si>
    <t>Laboratory Scale</t>
  </si>
  <si>
    <t xml:space="preserve">work bench </t>
  </si>
  <si>
    <t xml:space="preserve">work bench  for equipment </t>
  </si>
  <si>
    <t xml:space="preserve">cabinet </t>
  </si>
  <si>
    <t xml:space="preserve">shelf </t>
  </si>
  <si>
    <t>WARDS</t>
  </si>
  <si>
    <t>Standard hospital beds</t>
  </si>
  <si>
    <t>Table for patient feeding, table-top, mobile</t>
  </si>
  <si>
    <t>ICU stations</t>
  </si>
  <si>
    <t>Resuscitation beds</t>
  </si>
  <si>
    <t xml:space="preserve">Defibrillator Biphasic 360 Joules, Adult and Pediatric Multiple Electrodes, Cardio Version, Self-Test Diagnosis. </t>
  </si>
  <si>
    <t>Shock table (cart)</t>
  </si>
  <si>
    <t>Cardiograph with a 3-channel color liquid crystal display, the display should have 12 outputs. With different software capabilities. With the ability to process a cardiogram. With multiple chest and limb electrodes. (Can be sterilized and disinfected), with proper cart, with multiple electrodes</t>
  </si>
  <si>
    <t>Patient monitor, basic:  (ECG, Resp, HR,  NIBP,Temp, SpO2, ), sensory,with easy to clean screen</t>
  </si>
  <si>
    <t>Glucometer with strips (100)</t>
  </si>
  <si>
    <t>Flowmeter with Moisturizing Cup: Flumeter with Medical Oxygen Standard DIN Standard: High Resistance, Metal Monobloc, Scale Transparent Material (polyamide): 0-15 l / min; With regulator; Special different diaphragm adapter / transmitter and separate - appropriate moisturizing cup 250 ml or more;</t>
  </si>
  <si>
    <t>Tripod</t>
  </si>
  <si>
    <t>Laryngoscope set, Macintosh, 1,2,3,4 size with blades (high quality)</t>
  </si>
  <si>
    <t>Laryngoscope set, Miller, 1,2,3,4 size with blades (high quality)</t>
  </si>
  <si>
    <t>High-pressure surgical resection not less than 50 l / min, with two jars, not less than 2 l</t>
  </si>
  <si>
    <t xml:space="preserve">Infusomat, volumetric: Drip compatible with different manufacturer's systems </t>
  </si>
  <si>
    <t xml:space="preserve">Soap dispenser </t>
  </si>
  <si>
    <t>STERILAZATION</t>
  </si>
  <si>
    <t xml:space="preserve">2-door horizontal Steam sterilizer: mint 300 l. With different sterilization modes. With built-in printer. crystal color screen, with proper cart for loading / unloading materials  </t>
  </si>
  <si>
    <t>Plasma sterilizer: at least 100 liters, with liquid crystal color screen. Different modes of sterilization.</t>
  </si>
  <si>
    <t>Sterile packing irons: High quality, designed for high hospital load. With the possibility of temperature regulation. The minimum width of the package is min 45 cm. (Should be able to pack Packages for plasma sterilizers)</t>
  </si>
  <si>
    <t>Stainless steel shelf:  app. 40 * 100 * 200 cm</t>
  </si>
  <si>
    <t>Washing utensils (durable plastic container 4 different sizes up to 5-40 liters, set</t>
  </si>
  <si>
    <t>Ultrasonic washer, capacity 20 l or more</t>
  </si>
  <si>
    <t>Table, stainless metal: app. size 70 * 70 * 150 cm, proper,  easy to wash, adjustable in height with a soft-seat, round chair</t>
  </si>
  <si>
    <t>Sterile item cart, with a closing door, locking  wheels, to keep at least 4 big sterilization containers</t>
  </si>
  <si>
    <t>Washing sink (deep chan) with warm, cold, clean water and compressed air supply</t>
  </si>
  <si>
    <t>Working table - lockable, for packing irons and rolls with proper stand-up, approximate length-width: 150 * 100 cm</t>
  </si>
  <si>
    <t>China</t>
  </si>
  <si>
    <t>Germany</t>
  </si>
  <si>
    <t>Eu</t>
  </si>
  <si>
    <t>Standard equipment set per primary care clinics (otoscope, ophalmoscope, ECG</t>
  </si>
  <si>
    <t>Standard furniture per unit</t>
  </si>
  <si>
    <t>Integrated telemedicine equipment for primary care sites</t>
  </si>
  <si>
    <t xml:space="preserve">200 nmol, nCoV Forward primer (HKU-ORF1b-nsp14F): </t>
  </si>
  <si>
    <t>Number of Unit</t>
  </si>
  <si>
    <t>Unit Price</t>
  </si>
  <si>
    <t>ICU bed: four-section ICU medical bed (with electric control) for adults, remote control, control panel on the sides, with locking function. Automatic CPR, Trendelenburg - / +; Max Weight of the patient 220 kg.</t>
  </si>
  <si>
    <t>X-ray machine, mobile: fully digital, integrated with a high-resolution screen that will instantly display the patient's image. Wireless Detector 35 * 35 or larger, generator with not less than 15KW power, with integrated power supply that provides imaging  for at least 30 patients with maximum power.</t>
  </si>
  <si>
    <t xml:space="preserve">X-ray machine, mobile: fully digital, integrated with a high-resolution screen that will instantly display the patient's image. Wireless Detector 35 * 35 or larger, generator with not less than 15KW power, with integrated power supply that provides imaging  for at least 30 patients with maximum power. </t>
  </si>
  <si>
    <t xml:space="preserve">Flowmeter with Moisturizing Cup: </t>
  </si>
  <si>
    <t xml:space="preserve">An anesthetic machine designed for adults and pediatric patients. With two evaporators, an anesthetic gas module. </t>
  </si>
  <si>
    <t xml:space="preserve">Operational surgical lighting with LED technology, two satellites 150000/110000 lux. With the ability to adjust the light temperature range and brightness. </t>
  </si>
  <si>
    <t xml:space="preserve">Computer tomography: at least 64 layers, with different applications, with a special program compatible modern protocol for lung tests with subsequent appropriate updates in future. Gentry diameter not less than 72 cm, table load capacity,  not less than 220 kg; </t>
  </si>
  <si>
    <t>Computer tomography: at least 64 layers, with different applications, with a special program compatible modern protocol for lung tests with subsequent appropriate updates in future. Gentry diameter not less than 72 cm, table load capacity,  not less than 220 kg;</t>
  </si>
  <si>
    <t>PPE</t>
  </si>
  <si>
    <t>PCR Reagents and Consumables</t>
  </si>
  <si>
    <t>N</t>
  </si>
  <si>
    <t>P</t>
  </si>
  <si>
    <t>T</t>
  </si>
  <si>
    <t>Hospital Equipment</t>
  </si>
  <si>
    <t>Ambulances</t>
  </si>
  <si>
    <t>Equipment for emergency control center</t>
  </si>
  <si>
    <t>Other Critical medical consumables</t>
  </si>
  <si>
    <t>Items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</si>
</sst>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43" formatCode="_(* #,##0.00_);_(* \(#,##0.00\);_(* &quot;-&quot;??_);_(@_)"/>
    <numFmt numFmtId="164" formatCode="_(* #,##0_);_(* \(#,##0\);_(* &quot;-&quot;??_);_(@_)"/>
    <numFmt numFmtId="165" formatCode="_(&quot;$&quot;* #,##0_);_(&quot;$&quot;* \(#,##0\);_(&quot;$&quot;* &quot;-&quot;??_);_(@_)"/>
  </numFmts>
  <fonts count="6" x14ac:knownFonts="1">
    <font>
      <sz val="11"/>
      <color theme="1"/>
      <name val="Calibri"/>
      <family val="2"/>
      <scheme val="minor"/>
    </font>
    <font>
      <sz val="11"/>
      <color theme="1"/>
      <name val="Calibri"/>
      <family val="2"/>
      <scheme val="minor"/>
    </font>
    <font>
      <b/>
      <sz val="11"/>
      <color theme="1"/>
      <name val="Calibri"/>
      <family val="2"/>
      <scheme val="minor"/>
    </font>
    <font>
      <sz val="10"/>
      <color rgb="FF000000"/>
      <name val="Arial"/>
      <family val="2"/>
    </font>
    <font>
      <sz val="10"/>
      <color rgb="FFFF0000"/>
      <name val="Arial"/>
      <family val="2"/>
    </font>
    <font>
      <sz val="10"/>
      <color theme="1"/>
      <name val="Arial"/>
      <family val="2"/>
    </font>
  </fonts>
  <fills count="5">
    <fill>
      <patternFill patternType="none"/>
    </fill>
    <fill>
      <patternFill patternType="gray125"/>
    </fill>
    <fill>
      <patternFill patternType="solid">
        <fgColor rgb="FFDAEEF3"/>
        <bgColor indexed="64"/>
      </patternFill>
    </fill>
    <fill>
      <patternFill patternType="solid">
        <fgColor rgb="FFFFFF00"/>
        <bgColor indexed="64"/>
      </patternFill>
    </fill>
    <fill>
      <patternFill patternType="solid">
        <fgColor theme="0"/>
        <bgColor indexed="64"/>
      </patternFill>
    </fill>
  </fills>
  <borders count="3">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25">
    <xf numFmtId="0" fontId="0" fillId="0" borderId="0" xfId="0"/>
    <xf numFmtId="43" fontId="0" fillId="0" borderId="0" xfId="1" applyFont="1"/>
    <xf numFmtId="43" fontId="0" fillId="0" borderId="0" xfId="0" applyNumberFormat="1"/>
    <xf numFmtId="164" fontId="0" fillId="0" borderId="0" xfId="1" applyNumberFormat="1" applyFont="1"/>
    <xf numFmtId="44" fontId="0" fillId="0" borderId="0" xfId="2" applyFont="1"/>
    <xf numFmtId="44" fontId="0" fillId="0" borderId="0" xfId="0" applyNumberFormat="1"/>
    <xf numFmtId="165" fontId="0" fillId="0" borderId="0" xfId="2" applyNumberFormat="1" applyFont="1"/>
    <xf numFmtId="0" fontId="5" fillId="2" borderId="1" xfId="0" applyFont="1" applyFill="1" applyBorder="1" applyAlignment="1">
      <alignment vertical="center"/>
    </xf>
    <xf numFmtId="0" fontId="3" fillId="2" borderId="2" xfId="0" applyFont="1" applyFill="1" applyBorder="1" applyAlignment="1">
      <alignment vertical="center"/>
    </xf>
    <xf numFmtId="44" fontId="0" fillId="0" borderId="0" xfId="0" applyNumberFormat="1" applyFill="1" applyBorder="1"/>
    <xf numFmtId="0" fontId="0" fillId="0" borderId="0" xfId="0" applyAlignment="1">
      <alignment wrapText="1"/>
    </xf>
    <xf numFmtId="0" fontId="0" fillId="0" borderId="0" xfId="0" applyAlignment="1">
      <alignment vertical="top" wrapText="1"/>
    </xf>
    <xf numFmtId="0" fontId="0" fillId="0" borderId="0" xfId="0" applyAlignment="1">
      <alignment vertical="top"/>
    </xf>
    <xf numFmtId="44" fontId="0" fillId="0" borderId="0" xfId="2" applyFont="1" applyAlignment="1">
      <alignment vertical="top" wrapText="1"/>
    </xf>
    <xf numFmtId="44" fontId="0" fillId="0" borderId="0" xfId="2" applyFont="1" applyAlignment="1">
      <alignment vertical="top"/>
    </xf>
    <xf numFmtId="1" fontId="0" fillId="0" borderId="0" xfId="0" applyNumberFormat="1" applyAlignment="1">
      <alignment vertical="top" wrapText="1"/>
    </xf>
    <xf numFmtId="1" fontId="0" fillId="0" borderId="0" xfId="0" applyNumberFormat="1" applyAlignment="1">
      <alignment vertical="top"/>
    </xf>
    <xf numFmtId="44" fontId="0" fillId="0" borderId="0" xfId="2" applyFont="1" applyAlignment="1">
      <alignment horizontal="right" vertical="center"/>
    </xf>
    <xf numFmtId="165" fontId="0" fillId="0" borderId="0" xfId="2" applyNumberFormat="1" applyFont="1" applyAlignment="1">
      <alignment horizontal="right" vertical="center"/>
    </xf>
    <xf numFmtId="0" fontId="2" fillId="0" borderId="0" xfId="0" applyFont="1" applyAlignment="1">
      <alignment horizontal="center" vertical="top" wrapText="1"/>
    </xf>
    <xf numFmtId="0" fontId="0" fillId="4" borderId="0" xfId="0" applyFill="1" applyAlignment="1">
      <alignment vertical="top" wrapText="1"/>
    </xf>
    <xf numFmtId="43" fontId="0" fillId="0" borderId="0" xfId="1" applyFont="1" applyAlignment="1">
      <alignment horizontal="right" vertical="center"/>
    </xf>
    <xf numFmtId="43" fontId="0" fillId="0" borderId="0" xfId="1" applyFont="1" applyAlignment="1">
      <alignment horizontal="right" vertical="center" wrapText="1"/>
    </xf>
    <xf numFmtId="44" fontId="0" fillId="0" borderId="0" xfId="2" applyFont="1" applyAlignment="1">
      <alignment horizontal="right" vertical="center" wrapText="1"/>
    </xf>
    <xf numFmtId="44" fontId="0" fillId="3" borderId="0" xfId="2" applyFont="1" applyFill="1" applyAlignment="1">
      <alignment horizontal="right" vertical="center"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tabSelected="1" workbookViewId="0">
      <selection activeCell="G11" sqref="G11"/>
    </sheetView>
  </sheetViews>
  <sheetFormatPr defaultRowHeight="15" x14ac:dyDescent="0.25"/>
  <cols>
    <col min="1" max="1" width="38.28515625" customWidth="1"/>
    <col min="2" max="2" width="18.7109375" customWidth="1"/>
  </cols>
  <sheetData>
    <row r="1" spans="1:2" x14ac:dyDescent="0.25">
      <c r="A1" t="s">
        <v>314</v>
      </c>
      <c r="B1" t="s">
        <v>3</v>
      </c>
    </row>
    <row r="2" spans="1:2" x14ac:dyDescent="0.25">
      <c r="A2" t="s">
        <v>305</v>
      </c>
      <c r="B2" s="5">
        <f>'Total PPE'!D26</f>
        <v>63419243.299999997</v>
      </c>
    </row>
    <row r="3" spans="1:2" x14ac:dyDescent="0.25">
      <c r="A3" t="s">
        <v>306</v>
      </c>
      <c r="B3" s="5">
        <f>'Total PCR Reagents and consumab'!D47</f>
        <v>833785</v>
      </c>
    </row>
    <row r="4" spans="1:2" x14ac:dyDescent="0.25">
      <c r="A4" t="s">
        <v>310</v>
      </c>
      <c r="B4" s="5">
        <f>'Total HosEq'!D123</f>
        <v>36627390</v>
      </c>
    </row>
    <row r="5" spans="1:2" x14ac:dyDescent="0.25">
      <c r="A5" t="s">
        <v>311</v>
      </c>
      <c r="B5" s="5">
        <f>'Critical Medical Consumables'!D18+'Critical Medical Consumables'!D19</f>
        <v>5400000</v>
      </c>
    </row>
    <row r="6" spans="1:2" x14ac:dyDescent="0.25">
      <c r="A6" t="s">
        <v>312</v>
      </c>
      <c r="B6" s="5">
        <f>SUM('Critical Medical Consumables'!D32:D34)</f>
        <v>2757000</v>
      </c>
    </row>
    <row r="7" spans="1:2" x14ac:dyDescent="0.25">
      <c r="A7" t="s">
        <v>313</v>
      </c>
      <c r="B7" s="5">
        <f>'Critical Medical Consumables'!D38-Summary!B5-Summary!B6</f>
        <v>19892600</v>
      </c>
    </row>
    <row r="8" spans="1:2" x14ac:dyDescent="0.25">
      <c r="A8" t="s">
        <v>3</v>
      </c>
      <c r="B8" s="5">
        <f>SUM(B2:B7)</f>
        <v>128930018.3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8"/>
  <sheetViews>
    <sheetView workbookViewId="0">
      <selection activeCell="D38" sqref="D38"/>
    </sheetView>
  </sheetViews>
  <sheetFormatPr defaultRowHeight="15" x14ac:dyDescent="0.25"/>
  <cols>
    <col min="1" max="1" width="98.42578125" bestFit="1" customWidth="1"/>
    <col min="2" max="2" width="19" style="3" bestFit="1" customWidth="1"/>
    <col min="3" max="3" width="17.28515625" style="4" bestFit="1" customWidth="1"/>
    <col min="4" max="4" width="15.5703125" bestFit="1" customWidth="1"/>
  </cols>
  <sheetData>
    <row r="1" spans="1:4" x14ac:dyDescent="0.25">
      <c r="A1" t="s">
        <v>0</v>
      </c>
      <c r="B1" s="3" t="s">
        <v>1</v>
      </c>
      <c r="C1" s="4" t="s">
        <v>2</v>
      </c>
      <c r="D1" t="s">
        <v>37</v>
      </c>
    </row>
    <row r="2" spans="1:4" x14ac:dyDescent="0.25">
      <c r="A2" t="s">
        <v>4</v>
      </c>
      <c r="B2" s="3">
        <v>19000000</v>
      </c>
      <c r="C2" s="4">
        <v>7.0000000000000007E-2</v>
      </c>
      <c r="D2" s="4">
        <f>C2*B2</f>
        <v>1330000.0000000002</v>
      </c>
    </row>
    <row r="3" spans="1:4" x14ac:dyDescent="0.25">
      <c r="A3" t="s">
        <v>5</v>
      </c>
      <c r="B3" s="3">
        <v>24000000</v>
      </c>
      <c r="C3" s="4">
        <v>0.8</v>
      </c>
      <c r="D3" s="4">
        <f t="shared" ref="D3:D34" si="0">C3*B3</f>
        <v>19200000</v>
      </c>
    </row>
    <row r="4" spans="1:4" x14ac:dyDescent="0.25">
      <c r="A4" t="s">
        <v>6</v>
      </c>
      <c r="B4" s="3">
        <v>200000</v>
      </c>
      <c r="C4" s="4">
        <v>13</v>
      </c>
      <c r="D4" s="4">
        <f t="shared" si="0"/>
        <v>2600000</v>
      </c>
    </row>
    <row r="5" spans="1:4" x14ac:dyDescent="0.25">
      <c r="A5" t="s">
        <v>7</v>
      </c>
      <c r="B5" s="3">
        <v>40000000</v>
      </c>
      <c r="C5" s="4">
        <v>0.66</v>
      </c>
      <c r="D5" s="4">
        <f t="shared" si="0"/>
        <v>26400000</v>
      </c>
    </row>
    <row r="6" spans="1:4" x14ac:dyDescent="0.25">
      <c r="A6" t="s">
        <v>8</v>
      </c>
      <c r="B6" s="3">
        <v>4000000</v>
      </c>
      <c r="C6" s="4">
        <v>3</v>
      </c>
      <c r="D6" s="4">
        <f t="shared" si="0"/>
        <v>12000000</v>
      </c>
    </row>
    <row r="7" spans="1:4" x14ac:dyDescent="0.25">
      <c r="A7" t="s">
        <v>9</v>
      </c>
      <c r="B7" s="3">
        <v>29</v>
      </c>
      <c r="C7" s="4">
        <v>400</v>
      </c>
      <c r="D7" s="4">
        <f t="shared" si="0"/>
        <v>11600</v>
      </c>
    </row>
    <row r="8" spans="1:4" x14ac:dyDescent="0.25">
      <c r="A8" t="s">
        <v>10</v>
      </c>
      <c r="B8" s="3">
        <v>142000</v>
      </c>
      <c r="C8" s="4">
        <v>10</v>
      </c>
      <c r="D8" s="4">
        <f t="shared" si="0"/>
        <v>1420000</v>
      </c>
    </row>
    <row r="9" spans="1:4" x14ac:dyDescent="0.25">
      <c r="A9" t="s">
        <v>11</v>
      </c>
      <c r="B9" s="3">
        <v>142000</v>
      </c>
      <c r="C9" s="4">
        <v>12</v>
      </c>
      <c r="D9" s="4">
        <f t="shared" si="0"/>
        <v>1704000</v>
      </c>
    </row>
    <row r="10" spans="1:4" x14ac:dyDescent="0.25">
      <c r="A10" t="s">
        <v>12</v>
      </c>
      <c r="B10" s="3">
        <v>60000</v>
      </c>
      <c r="C10" s="4">
        <v>15</v>
      </c>
      <c r="D10" s="4">
        <f t="shared" si="0"/>
        <v>900000</v>
      </c>
    </row>
    <row r="11" spans="1:4" x14ac:dyDescent="0.25">
      <c r="A11" t="s">
        <v>13</v>
      </c>
      <c r="B11" s="3">
        <v>220000</v>
      </c>
      <c r="C11" s="4">
        <v>5</v>
      </c>
      <c r="D11" s="4">
        <f t="shared" si="0"/>
        <v>1100000</v>
      </c>
    </row>
    <row r="12" spans="1:4" x14ac:dyDescent="0.25">
      <c r="A12" t="s">
        <v>14</v>
      </c>
      <c r="B12" s="3">
        <v>2000</v>
      </c>
      <c r="C12" s="4">
        <v>4</v>
      </c>
      <c r="D12" s="4">
        <f t="shared" si="0"/>
        <v>8000</v>
      </c>
    </row>
    <row r="13" spans="1:4" x14ac:dyDescent="0.25">
      <c r="A13" t="s">
        <v>15</v>
      </c>
      <c r="B13" s="3">
        <v>2020</v>
      </c>
      <c r="C13" s="4">
        <v>25</v>
      </c>
      <c r="D13" s="4">
        <f t="shared" si="0"/>
        <v>50500</v>
      </c>
    </row>
    <row r="14" spans="1:4" x14ac:dyDescent="0.25">
      <c r="A14" t="s">
        <v>16</v>
      </c>
      <c r="B14" s="3">
        <v>50</v>
      </c>
      <c r="C14" s="4">
        <v>25000</v>
      </c>
      <c r="D14" s="4">
        <f t="shared" si="0"/>
        <v>1250000</v>
      </c>
    </row>
    <row r="15" spans="1:4" x14ac:dyDescent="0.25">
      <c r="A15" t="s">
        <v>17</v>
      </c>
      <c r="B15" s="3">
        <v>350</v>
      </c>
      <c r="C15" s="4">
        <v>14000</v>
      </c>
      <c r="D15" s="4">
        <f t="shared" si="0"/>
        <v>4900000</v>
      </c>
    </row>
    <row r="16" spans="1:4" x14ac:dyDescent="0.25">
      <c r="A16" t="s">
        <v>36</v>
      </c>
      <c r="B16" s="3">
        <v>350</v>
      </c>
      <c r="C16" s="4">
        <v>4000</v>
      </c>
      <c r="D16" s="4">
        <f t="shared" si="0"/>
        <v>1400000</v>
      </c>
    </row>
    <row r="17" spans="1:4" x14ac:dyDescent="0.25">
      <c r="A17" t="s">
        <v>18</v>
      </c>
      <c r="B17" s="3">
        <v>1150</v>
      </c>
      <c r="C17" s="4">
        <v>1400</v>
      </c>
      <c r="D17" s="4">
        <f t="shared" si="0"/>
        <v>1610000</v>
      </c>
    </row>
    <row r="18" spans="1:4" x14ac:dyDescent="0.25">
      <c r="A18" t="s">
        <v>19</v>
      </c>
      <c r="B18" s="3">
        <v>50</v>
      </c>
      <c r="C18" s="4">
        <v>60000</v>
      </c>
      <c r="D18" s="4">
        <f t="shared" si="0"/>
        <v>3000000</v>
      </c>
    </row>
    <row r="19" spans="1:4" x14ac:dyDescent="0.25">
      <c r="A19" t="s">
        <v>20</v>
      </c>
      <c r="B19" s="3">
        <v>30</v>
      </c>
      <c r="C19" s="4">
        <v>80000</v>
      </c>
      <c r="D19" s="4">
        <f t="shared" si="0"/>
        <v>2400000</v>
      </c>
    </row>
    <row r="20" spans="1:4" x14ac:dyDescent="0.25">
      <c r="A20" t="s">
        <v>21</v>
      </c>
      <c r="B20" s="3">
        <v>90</v>
      </c>
      <c r="C20" s="4">
        <v>30000</v>
      </c>
      <c r="D20" s="4">
        <f t="shared" si="0"/>
        <v>2700000</v>
      </c>
    </row>
    <row r="21" spans="1:4" x14ac:dyDescent="0.25">
      <c r="A21" t="s">
        <v>22</v>
      </c>
      <c r="B21" s="3">
        <v>950</v>
      </c>
      <c r="C21" s="4">
        <v>1500</v>
      </c>
      <c r="D21" s="4">
        <f t="shared" si="0"/>
        <v>1425000</v>
      </c>
    </row>
    <row r="22" spans="1:4" x14ac:dyDescent="0.25">
      <c r="A22" t="s">
        <v>23</v>
      </c>
      <c r="B22" s="3">
        <v>950</v>
      </c>
      <c r="C22" s="4">
        <v>1200</v>
      </c>
      <c r="D22" s="4">
        <f t="shared" si="0"/>
        <v>1140000</v>
      </c>
    </row>
    <row r="23" spans="1:4" x14ac:dyDescent="0.25">
      <c r="A23" t="s">
        <v>24</v>
      </c>
      <c r="B23" s="3">
        <v>22</v>
      </c>
      <c r="C23" s="4">
        <v>75000</v>
      </c>
      <c r="D23" s="4">
        <f t="shared" si="0"/>
        <v>1650000</v>
      </c>
    </row>
    <row r="24" spans="1:4" x14ac:dyDescent="0.25">
      <c r="A24" t="s">
        <v>25</v>
      </c>
      <c r="B24" s="3">
        <v>1000</v>
      </c>
      <c r="C24" s="4">
        <v>18</v>
      </c>
      <c r="D24" s="4">
        <f t="shared" si="0"/>
        <v>18000</v>
      </c>
    </row>
    <row r="25" spans="1:4" x14ac:dyDescent="0.25">
      <c r="A25" t="s">
        <v>26</v>
      </c>
      <c r="B25" s="3">
        <v>550000</v>
      </c>
      <c r="C25" s="4">
        <v>15</v>
      </c>
      <c r="D25" s="4">
        <f t="shared" si="0"/>
        <v>8250000</v>
      </c>
    </row>
    <row r="26" spans="1:4" x14ac:dyDescent="0.25">
      <c r="A26" t="s">
        <v>27</v>
      </c>
      <c r="B26" s="3">
        <v>23</v>
      </c>
      <c r="C26" s="4">
        <v>4500</v>
      </c>
      <c r="D26" s="4">
        <f t="shared" si="0"/>
        <v>103500</v>
      </c>
    </row>
    <row r="27" spans="1:4" x14ac:dyDescent="0.25">
      <c r="A27" t="s">
        <v>28</v>
      </c>
      <c r="B27" s="3">
        <v>310000</v>
      </c>
      <c r="C27" s="4">
        <v>7</v>
      </c>
      <c r="D27" s="4">
        <f t="shared" si="0"/>
        <v>2170000</v>
      </c>
    </row>
    <row r="28" spans="1:4" x14ac:dyDescent="0.25">
      <c r="A28" t="s">
        <v>29</v>
      </c>
      <c r="B28" s="3">
        <v>15</v>
      </c>
      <c r="C28" s="4">
        <v>100</v>
      </c>
      <c r="D28" s="4">
        <f t="shared" si="0"/>
        <v>1500</v>
      </c>
    </row>
    <row r="29" spans="1:4" x14ac:dyDescent="0.25">
      <c r="A29" t="s">
        <v>30</v>
      </c>
      <c r="B29" s="3">
        <v>13</v>
      </c>
      <c r="C29" s="4">
        <v>25000</v>
      </c>
      <c r="D29" s="4">
        <f t="shared" si="0"/>
        <v>325000</v>
      </c>
    </row>
    <row r="30" spans="1:4" x14ac:dyDescent="0.25">
      <c r="A30" t="s">
        <v>31</v>
      </c>
      <c r="B30" s="3">
        <v>200</v>
      </c>
      <c r="C30" s="4">
        <v>15</v>
      </c>
      <c r="D30" s="4">
        <f t="shared" si="0"/>
        <v>3000</v>
      </c>
    </row>
    <row r="31" spans="1:4" x14ac:dyDescent="0.25">
      <c r="A31" t="s">
        <v>32</v>
      </c>
      <c r="B31" s="3">
        <v>40</v>
      </c>
      <c r="C31" s="4">
        <v>30</v>
      </c>
      <c r="D31" s="4">
        <f t="shared" si="0"/>
        <v>1200</v>
      </c>
    </row>
    <row r="32" spans="1:4" x14ac:dyDescent="0.25">
      <c r="A32" t="s">
        <v>33</v>
      </c>
      <c r="B32" s="3">
        <v>490</v>
      </c>
      <c r="C32" s="4">
        <v>1000</v>
      </c>
      <c r="D32" s="4">
        <f t="shared" si="0"/>
        <v>490000</v>
      </c>
    </row>
    <row r="33" spans="1:4" x14ac:dyDescent="0.25">
      <c r="A33" t="s">
        <v>34</v>
      </c>
      <c r="B33" s="3">
        <v>360</v>
      </c>
      <c r="C33" s="4">
        <v>1400</v>
      </c>
      <c r="D33" s="4">
        <f t="shared" si="0"/>
        <v>504000</v>
      </c>
    </row>
    <row r="34" spans="1:4" x14ac:dyDescent="0.25">
      <c r="A34" t="s">
        <v>35</v>
      </c>
      <c r="B34" s="3">
        <v>43</v>
      </c>
      <c r="C34" s="4">
        <v>41000</v>
      </c>
      <c r="D34" s="4">
        <f t="shared" si="0"/>
        <v>1763000</v>
      </c>
    </row>
    <row r="35" spans="1:4" x14ac:dyDescent="0.25">
      <c r="D35" s="5">
        <f>SUM(D2:D34)</f>
        <v>101828300</v>
      </c>
    </row>
    <row r="36" spans="1:4" x14ac:dyDescent="0.25">
      <c r="D36" s="5">
        <f>-PPE!S35</f>
        <v>-63285700</v>
      </c>
    </row>
    <row r="37" spans="1:4" x14ac:dyDescent="0.25">
      <c r="D37" s="5">
        <f>-'Hospital Equipment'!P35</f>
        <v>-10493000</v>
      </c>
    </row>
    <row r="38" spans="1:4" x14ac:dyDescent="0.25">
      <c r="D38" s="5">
        <f>SUM(D35:D37)</f>
        <v>28049600</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9"/>
  <sheetViews>
    <sheetView topLeftCell="B19" workbookViewId="0">
      <selection activeCell="K2" sqref="K2:K31"/>
    </sheetView>
  </sheetViews>
  <sheetFormatPr defaultRowHeight="15" x14ac:dyDescent="0.25"/>
  <cols>
    <col min="1" max="1" width="55" bestFit="1" customWidth="1"/>
    <col min="4" max="4" width="14.28515625" style="3" bestFit="1" customWidth="1"/>
    <col min="5" max="5" width="10.140625" style="4" bestFit="1" customWidth="1"/>
    <col min="6" max="6" width="12.140625" bestFit="1" customWidth="1"/>
    <col min="8" max="8" width="53.42578125" hidden="1" customWidth="1"/>
    <col min="9" max="9" width="0" hidden="1" customWidth="1"/>
    <col min="10" max="10" width="19.140625" customWidth="1"/>
  </cols>
  <sheetData>
    <row r="1" spans="1:11" x14ac:dyDescent="0.25">
      <c r="A1" t="s">
        <v>79</v>
      </c>
      <c r="D1" s="3" t="s">
        <v>80</v>
      </c>
      <c r="E1" s="4" t="s">
        <v>81</v>
      </c>
      <c r="F1" t="s">
        <v>37</v>
      </c>
    </row>
    <row r="2" spans="1:11" x14ac:dyDescent="0.25">
      <c r="A2" t="s">
        <v>38</v>
      </c>
      <c r="D2" s="3">
        <v>20000</v>
      </c>
      <c r="E2" s="4">
        <v>1</v>
      </c>
      <c r="F2" s="5">
        <f>E2*D2</f>
        <v>20000</v>
      </c>
      <c r="H2" t="s">
        <v>38</v>
      </c>
      <c r="I2">
        <f>COUNTIF($A$2:$A$68,_xlnm.Extract)</f>
        <v>1</v>
      </c>
      <c r="J2" t="s">
        <v>4</v>
      </c>
      <c r="K2">
        <f>SUMIF($A$2:$A$68,"*Glove*",$D$2:$D$68)</f>
        <v>0</v>
      </c>
    </row>
    <row r="3" spans="1:11" x14ac:dyDescent="0.25">
      <c r="A3" t="s">
        <v>39</v>
      </c>
      <c r="B3" t="s">
        <v>40</v>
      </c>
      <c r="C3">
        <v>52906</v>
      </c>
      <c r="D3" s="3">
        <v>80</v>
      </c>
      <c r="E3" s="4">
        <v>1100</v>
      </c>
      <c r="F3" s="5">
        <f t="shared" ref="F3:F6" si="0">E3*D3</f>
        <v>88000</v>
      </c>
      <c r="H3" t="s">
        <v>39</v>
      </c>
      <c r="I3">
        <f>COUNTIF($A$2:$A$68,H3)</f>
        <v>1</v>
      </c>
      <c r="J3" t="s">
        <v>5</v>
      </c>
      <c r="K3">
        <f>SUMIF($A$2:$A$68,"*Gown*",$D$2:$D$68)</f>
        <v>0</v>
      </c>
    </row>
    <row r="4" spans="1:11" x14ac:dyDescent="0.25">
      <c r="A4" t="s">
        <v>41</v>
      </c>
      <c r="B4" t="s">
        <v>42</v>
      </c>
      <c r="C4">
        <v>19201</v>
      </c>
      <c r="D4" s="3">
        <v>20</v>
      </c>
      <c r="E4" s="4">
        <v>240</v>
      </c>
      <c r="F4" s="5">
        <f t="shared" si="0"/>
        <v>4800</v>
      </c>
      <c r="H4" t="s">
        <v>41</v>
      </c>
      <c r="I4">
        <f>COUNTIF($A$2:$A$68,H4)</f>
        <v>1</v>
      </c>
      <c r="J4" t="s">
        <v>6</v>
      </c>
      <c r="K4">
        <f>SUMIF($A$2:$A$68,"*Goggle*",$D$2:$D$68)</f>
        <v>0</v>
      </c>
    </row>
    <row r="5" spans="1:11" x14ac:dyDescent="0.25">
      <c r="A5" t="s">
        <v>43</v>
      </c>
      <c r="B5" t="s">
        <v>42</v>
      </c>
      <c r="C5">
        <v>19073</v>
      </c>
      <c r="D5" s="3">
        <v>80</v>
      </c>
      <c r="E5" s="4">
        <v>160</v>
      </c>
      <c r="F5" s="5">
        <f t="shared" si="0"/>
        <v>12800</v>
      </c>
      <c r="H5" t="s">
        <v>43</v>
      </c>
      <c r="I5">
        <f t="shared" ref="I5:I6" si="1">COUNTIF($A$2:$A$68,H5)</f>
        <v>1</v>
      </c>
      <c r="J5" t="s">
        <v>7</v>
      </c>
      <c r="K5">
        <f>SUMIF($A$2:$A$68,"*mask*",$D$2:$D$68)</f>
        <v>0</v>
      </c>
    </row>
    <row r="6" spans="1:11" x14ac:dyDescent="0.25">
      <c r="A6" t="s">
        <v>44</v>
      </c>
      <c r="B6" t="s">
        <v>42</v>
      </c>
      <c r="C6">
        <v>1020953</v>
      </c>
      <c r="D6" s="3">
        <v>10</v>
      </c>
      <c r="E6" s="4">
        <v>515</v>
      </c>
      <c r="F6" s="5">
        <f t="shared" si="0"/>
        <v>5150</v>
      </c>
      <c r="H6" t="s">
        <v>44</v>
      </c>
      <c r="I6">
        <f t="shared" si="1"/>
        <v>1</v>
      </c>
      <c r="J6" t="s">
        <v>8</v>
      </c>
      <c r="K6">
        <f>SUMIF($A$2:$A$68,"*N95*",$D$2:$D$68)</f>
        <v>0</v>
      </c>
    </row>
    <row r="7" spans="1:11" x14ac:dyDescent="0.25">
      <c r="J7" t="s">
        <v>9</v>
      </c>
      <c r="K7">
        <f>SUMIF($A$2:$A$68,"*test kit*",$D$2:$D$68)</f>
        <v>0</v>
      </c>
    </row>
    <row r="8" spans="1:11" x14ac:dyDescent="0.25">
      <c r="A8" t="s">
        <v>45</v>
      </c>
      <c r="B8" t="s">
        <v>46</v>
      </c>
      <c r="C8" t="s">
        <v>47</v>
      </c>
      <c r="D8" s="3">
        <v>10</v>
      </c>
      <c r="E8" s="4">
        <v>150</v>
      </c>
      <c r="F8" s="5">
        <f>E8*D8</f>
        <v>1500</v>
      </c>
      <c r="H8" t="s">
        <v>45</v>
      </c>
      <c r="I8">
        <f>COUNTIF($A$2:$A$68,H8)</f>
        <v>1</v>
      </c>
      <c r="J8" t="s">
        <v>10</v>
      </c>
      <c r="K8">
        <f>SUMIF($A$2:$A$68,"*soap*",$D$2:$D$68)</f>
        <v>0</v>
      </c>
    </row>
    <row r="9" spans="1:11" x14ac:dyDescent="0.25">
      <c r="A9" t="s">
        <v>48</v>
      </c>
      <c r="B9" t="s">
        <v>46</v>
      </c>
      <c r="C9" t="s">
        <v>49</v>
      </c>
      <c r="D9" s="3">
        <v>40</v>
      </c>
      <c r="E9" s="4">
        <v>250</v>
      </c>
      <c r="F9" s="5">
        <f t="shared" ref="F9:F34" si="2">E9*D9</f>
        <v>10000</v>
      </c>
      <c r="H9" t="s">
        <v>48</v>
      </c>
      <c r="I9">
        <f t="shared" ref="I9:I47" si="3">COUNTIF($A$2:$A$68,H9)</f>
        <v>1</v>
      </c>
      <c r="J9" t="s">
        <v>11</v>
      </c>
      <c r="K9">
        <f>SUMIF($A$2:$A$68,"*alcohol-based*",$D$2:$D$68)</f>
        <v>0</v>
      </c>
    </row>
    <row r="10" spans="1:11" x14ac:dyDescent="0.25">
      <c r="A10" t="s">
        <v>50</v>
      </c>
      <c r="B10" t="s">
        <v>46</v>
      </c>
      <c r="C10">
        <v>95040450</v>
      </c>
      <c r="D10" s="3">
        <v>40</v>
      </c>
      <c r="E10" s="4">
        <v>130</v>
      </c>
      <c r="F10" s="5">
        <f t="shared" si="2"/>
        <v>5200</v>
      </c>
      <c r="H10" t="s">
        <v>50</v>
      </c>
      <c r="I10">
        <f t="shared" si="3"/>
        <v>1</v>
      </c>
      <c r="J10" t="s">
        <v>12</v>
      </c>
      <c r="K10">
        <f>SUMIF($A$2:$A$68,"*chlorine-based*",$D$2:$D$68)</f>
        <v>0</v>
      </c>
    </row>
    <row r="11" spans="1:11" x14ac:dyDescent="0.25">
      <c r="A11" t="s">
        <v>51</v>
      </c>
      <c r="B11" t="s">
        <v>46</v>
      </c>
      <c r="C11">
        <v>97002540</v>
      </c>
      <c r="D11" s="3">
        <v>15</v>
      </c>
      <c r="E11" s="4">
        <v>180</v>
      </c>
      <c r="F11" s="5">
        <f t="shared" si="2"/>
        <v>2700</v>
      </c>
      <c r="H11" t="s">
        <v>51</v>
      </c>
      <c r="I11">
        <f t="shared" si="3"/>
        <v>1</v>
      </c>
      <c r="J11" t="s">
        <v>13</v>
      </c>
      <c r="K11">
        <f>SUMIF($A$2:$A$68,"*disp*",$D$2:$D$68)</f>
        <v>0</v>
      </c>
    </row>
    <row r="12" spans="1:11" x14ac:dyDescent="0.25">
      <c r="A12" t="s">
        <v>52</v>
      </c>
      <c r="B12" t="s">
        <v>46</v>
      </c>
      <c r="C12">
        <v>97002534</v>
      </c>
      <c r="D12" s="3">
        <v>8</v>
      </c>
      <c r="E12" s="4">
        <v>150</v>
      </c>
      <c r="F12" s="5">
        <f t="shared" si="2"/>
        <v>1200</v>
      </c>
      <c r="H12" t="s">
        <v>52</v>
      </c>
      <c r="I12">
        <f t="shared" si="3"/>
        <v>1</v>
      </c>
      <c r="J12" t="s">
        <v>14</v>
      </c>
      <c r="K12">
        <f>SUMIF($A$2:$A$68,"*thermometer*",$D$2:$D$68)</f>
        <v>0</v>
      </c>
    </row>
    <row r="13" spans="1:11" x14ac:dyDescent="0.25">
      <c r="A13" t="s">
        <v>53</v>
      </c>
      <c r="B13" t="s">
        <v>54</v>
      </c>
      <c r="C13">
        <v>8045</v>
      </c>
      <c r="D13" s="3">
        <v>50</v>
      </c>
      <c r="E13" s="4">
        <v>200</v>
      </c>
      <c r="F13" s="5">
        <f t="shared" si="2"/>
        <v>10000</v>
      </c>
      <c r="H13" t="s">
        <v>53</v>
      </c>
      <c r="I13">
        <f t="shared" si="3"/>
        <v>1</v>
      </c>
      <c r="J13" t="s">
        <v>15</v>
      </c>
      <c r="K13">
        <f>SUMIF($A$2:$A$68,"*infrared*",$D$2:$D$68)</f>
        <v>0</v>
      </c>
    </row>
    <row r="14" spans="1:11" x14ac:dyDescent="0.25">
      <c r="F14" s="5">
        <f t="shared" si="2"/>
        <v>0</v>
      </c>
      <c r="H14" t="s">
        <v>55</v>
      </c>
      <c r="I14">
        <f t="shared" si="3"/>
        <v>0</v>
      </c>
      <c r="J14" t="s">
        <v>16</v>
      </c>
      <c r="K14">
        <f>SUMIF($A$2:$A$68,"*ventilator*",$D$2:$D$68)</f>
        <v>0</v>
      </c>
    </row>
    <row r="15" spans="1:11" x14ac:dyDescent="0.25">
      <c r="A15" t="s">
        <v>294</v>
      </c>
      <c r="B15" t="s">
        <v>57</v>
      </c>
      <c r="D15" s="3">
        <v>3</v>
      </c>
      <c r="E15" s="4">
        <v>35</v>
      </c>
      <c r="F15" s="5">
        <f t="shared" si="2"/>
        <v>105</v>
      </c>
      <c r="H15" t="s">
        <v>56</v>
      </c>
      <c r="I15">
        <f t="shared" si="3"/>
        <v>1</v>
      </c>
      <c r="J15" t="s">
        <v>17</v>
      </c>
      <c r="K15">
        <f>SUMIF($A$2:$A$68,"*ventilator*",$D$2:$D$68)</f>
        <v>0</v>
      </c>
    </row>
    <row r="16" spans="1:11" x14ac:dyDescent="0.25">
      <c r="A16" t="s">
        <v>56</v>
      </c>
      <c r="F16" s="5">
        <f t="shared" si="2"/>
        <v>0</v>
      </c>
      <c r="H16" t="s">
        <v>58</v>
      </c>
      <c r="I16">
        <f t="shared" si="3"/>
        <v>1</v>
      </c>
      <c r="J16" t="s">
        <v>36</v>
      </c>
      <c r="K16">
        <f>SUMIF($A$2:$A$68,"*defibrilator*",$D$2:$D$68)</f>
        <v>0</v>
      </c>
    </row>
    <row r="17" spans="1:11" x14ac:dyDescent="0.25">
      <c r="A17" t="s">
        <v>58</v>
      </c>
      <c r="B17" t="s">
        <v>57</v>
      </c>
      <c r="D17" s="3">
        <v>4</v>
      </c>
      <c r="E17" s="4">
        <v>35</v>
      </c>
      <c r="F17" s="5">
        <f t="shared" si="2"/>
        <v>140</v>
      </c>
      <c r="H17" t="s">
        <v>59</v>
      </c>
      <c r="I17">
        <f t="shared" si="3"/>
        <v>1</v>
      </c>
      <c r="J17" t="s">
        <v>18</v>
      </c>
      <c r="K17">
        <f>SUMIF($A$2:$A$68,"*ECG*",$D$2:$D$68)</f>
        <v>0</v>
      </c>
    </row>
    <row r="18" spans="1:11" x14ac:dyDescent="0.25">
      <c r="A18" t="s">
        <v>59</v>
      </c>
      <c r="F18" s="5">
        <f t="shared" si="2"/>
        <v>0</v>
      </c>
      <c r="H18" t="s">
        <v>60</v>
      </c>
      <c r="I18">
        <f t="shared" si="3"/>
        <v>1</v>
      </c>
      <c r="J18" t="s">
        <v>19</v>
      </c>
      <c r="K18">
        <f t="shared" ref="K18:K25" si="4">SUMIF($A$2:$A$68,"*Glove*",$D$2:$D$68)</f>
        <v>0</v>
      </c>
    </row>
    <row r="19" spans="1:11" x14ac:dyDescent="0.25">
      <c r="A19" t="s">
        <v>60</v>
      </c>
      <c r="B19" t="s">
        <v>57</v>
      </c>
      <c r="D19" s="3">
        <v>10</v>
      </c>
      <c r="E19" s="4">
        <v>500</v>
      </c>
      <c r="F19" s="5">
        <f t="shared" si="2"/>
        <v>5000</v>
      </c>
      <c r="H19" t="s">
        <v>61</v>
      </c>
      <c r="I19">
        <f t="shared" si="3"/>
        <v>1</v>
      </c>
      <c r="J19" t="s">
        <v>20</v>
      </c>
      <c r="K19">
        <f t="shared" si="4"/>
        <v>0</v>
      </c>
    </row>
    <row r="20" spans="1:11" x14ac:dyDescent="0.25">
      <c r="A20" t="s">
        <v>61</v>
      </c>
      <c r="F20" s="5">
        <f t="shared" si="2"/>
        <v>0</v>
      </c>
      <c r="H20" t="s">
        <v>62</v>
      </c>
      <c r="I20">
        <f t="shared" si="3"/>
        <v>1</v>
      </c>
      <c r="J20" t="s">
        <v>21</v>
      </c>
      <c r="K20">
        <f>SUMIF($A$2:$A$68,"*oxygen*",$D$2:$D$68)</f>
        <v>0</v>
      </c>
    </row>
    <row r="21" spans="1:11" x14ac:dyDescent="0.25">
      <c r="A21" t="s">
        <v>62</v>
      </c>
      <c r="B21" t="s">
        <v>57</v>
      </c>
      <c r="D21" s="3">
        <v>5</v>
      </c>
      <c r="E21" s="4">
        <v>30</v>
      </c>
      <c r="F21" s="5">
        <f t="shared" si="2"/>
        <v>150</v>
      </c>
      <c r="H21" t="s">
        <v>63</v>
      </c>
      <c r="I21">
        <f t="shared" si="3"/>
        <v>1</v>
      </c>
      <c r="J21" t="s">
        <v>22</v>
      </c>
      <c r="K21">
        <f>SUMIF($A$2:$A$68,"*monitor*",$D$2:$D$68)</f>
        <v>0</v>
      </c>
    </row>
    <row r="22" spans="1:11" x14ac:dyDescent="0.25">
      <c r="A22" t="s">
        <v>63</v>
      </c>
      <c r="F22" s="5">
        <f t="shared" si="2"/>
        <v>0</v>
      </c>
      <c r="H22" t="s">
        <v>64</v>
      </c>
      <c r="I22">
        <f t="shared" si="3"/>
        <v>1</v>
      </c>
      <c r="J22" t="s">
        <v>23</v>
      </c>
      <c r="K22">
        <f>SUMIF($A$2:$A$68,"*oxygen*",$D$2:$D$68)</f>
        <v>0</v>
      </c>
    </row>
    <row r="23" spans="1:11" x14ac:dyDescent="0.25">
      <c r="A23" t="s">
        <v>64</v>
      </c>
      <c r="B23" t="s">
        <v>57</v>
      </c>
      <c r="D23" s="3">
        <v>3</v>
      </c>
      <c r="E23" s="4">
        <v>30</v>
      </c>
      <c r="F23" s="5">
        <f t="shared" si="2"/>
        <v>90</v>
      </c>
      <c r="H23" t="s">
        <v>65</v>
      </c>
      <c r="I23">
        <f t="shared" si="3"/>
        <v>1</v>
      </c>
      <c r="J23" t="s">
        <v>24</v>
      </c>
      <c r="K23">
        <f>SUMIF($A$2:$A$68,"*membrane*",$D$2:$D$68)</f>
        <v>0</v>
      </c>
    </row>
    <row r="24" spans="1:11" x14ac:dyDescent="0.25">
      <c r="A24" t="s">
        <v>65</v>
      </c>
      <c r="F24" s="5">
        <f t="shared" si="2"/>
        <v>0</v>
      </c>
      <c r="H24" t="s">
        <v>66</v>
      </c>
      <c r="I24">
        <f t="shared" si="3"/>
        <v>1</v>
      </c>
      <c r="J24" t="s">
        <v>25</v>
      </c>
      <c r="K24">
        <f>SUMIF($A$2:$A$68,"*oximeter*",$D$2:$D$68)</f>
        <v>0</v>
      </c>
    </row>
    <row r="25" spans="1:11" x14ac:dyDescent="0.25">
      <c r="A25" t="s">
        <v>66</v>
      </c>
      <c r="B25" t="s">
        <v>57</v>
      </c>
      <c r="D25" s="3">
        <v>6</v>
      </c>
      <c r="E25" s="4">
        <v>500</v>
      </c>
      <c r="F25" s="5">
        <f t="shared" si="2"/>
        <v>3000</v>
      </c>
      <c r="H25" t="s">
        <v>67</v>
      </c>
      <c r="I25">
        <f t="shared" si="3"/>
        <v>1</v>
      </c>
      <c r="J25" t="s">
        <v>26</v>
      </c>
      <c r="K25">
        <f t="shared" si="4"/>
        <v>0</v>
      </c>
    </row>
    <row r="26" spans="1:11" x14ac:dyDescent="0.25">
      <c r="A26" t="s">
        <v>67</v>
      </c>
      <c r="F26" s="5">
        <f t="shared" si="2"/>
        <v>0</v>
      </c>
      <c r="H26" t="s">
        <v>68</v>
      </c>
      <c r="I26">
        <f t="shared" si="3"/>
        <v>1</v>
      </c>
      <c r="J26" t="s">
        <v>27</v>
      </c>
      <c r="K26">
        <f>SUMIF($A$2:$A$68,"*HEPA*",$D$2:$D$68)</f>
        <v>0</v>
      </c>
    </row>
    <row r="27" spans="1:11" x14ac:dyDescent="0.25">
      <c r="A27" t="s">
        <v>68</v>
      </c>
      <c r="B27" t="s">
        <v>69</v>
      </c>
      <c r="C27">
        <v>4444434</v>
      </c>
      <c r="D27" s="3">
        <v>20</v>
      </c>
      <c r="E27" s="4">
        <v>2000</v>
      </c>
      <c r="F27" s="5">
        <f t="shared" si="2"/>
        <v>40000</v>
      </c>
      <c r="H27" t="s">
        <v>70</v>
      </c>
      <c r="I27">
        <f t="shared" si="3"/>
        <v>1</v>
      </c>
      <c r="J27" t="s">
        <v>28</v>
      </c>
      <c r="K27">
        <f>SUMIF($A$2:$A$68,"*test tube*",$D$2:$D$68)</f>
        <v>0</v>
      </c>
    </row>
    <row r="28" spans="1:11" x14ac:dyDescent="0.25">
      <c r="F28" s="5">
        <f t="shared" si="2"/>
        <v>0</v>
      </c>
      <c r="H28" t="s">
        <v>72</v>
      </c>
      <c r="I28">
        <f t="shared" si="3"/>
        <v>1</v>
      </c>
      <c r="J28" t="s">
        <v>29</v>
      </c>
      <c r="K28">
        <f>SUMIF($A$2:$A$68,"*insulated*",$D$2:$D$68)</f>
        <v>0</v>
      </c>
    </row>
    <row r="29" spans="1:11" x14ac:dyDescent="0.25">
      <c r="A29" t="s">
        <v>70</v>
      </c>
      <c r="B29" t="s">
        <v>71</v>
      </c>
      <c r="C29">
        <v>9155368001</v>
      </c>
      <c r="D29" s="3">
        <v>200</v>
      </c>
      <c r="E29" s="4">
        <v>450</v>
      </c>
      <c r="F29" s="5">
        <f t="shared" si="2"/>
        <v>90000</v>
      </c>
      <c r="H29" t="s">
        <v>73</v>
      </c>
      <c r="I29">
        <f t="shared" si="3"/>
        <v>1</v>
      </c>
      <c r="J29" t="s">
        <v>30</v>
      </c>
      <c r="K29">
        <f>SUMIF($A$2:$A$68,"*tent*",$D$2:$D$68)</f>
        <v>0</v>
      </c>
    </row>
    <row r="30" spans="1:11" x14ac:dyDescent="0.25">
      <c r="A30" t="s">
        <v>72</v>
      </c>
      <c r="B30" t="s">
        <v>71</v>
      </c>
      <c r="C30">
        <v>9155376001</v>
      </c>
      <c r="D30" s="3">
        <v>10</v>
      </c>
      <c r="E30" s="4">
        <v>450</v>
      </c>
      <c r="F30" s="5">
        <f t="shared" si="2"/>
        <v>4500</v>
      </c>
      <c r="H30" t="s">
        <v>74</v>
      </c>
      <c r="I30">
        <f t="shared" si="3"/>
        <v>1</v>
      </c>
      <c r="J30" t="s">
        <v>31</v>
      </c>
      <c r="K30">
        <f>SUMIF($A$2:$A$68,"*bin*",$D$2:$D$68)</f>
        <v>0</v>
      </c>
    </row>
    <row r="31" spans="1:11" ht="15.75" thickBot="1" x14ac:dyDescent="0.3">
      <c r="A31" t="s">
        <v>73</v>
      </c>
      <c r="B31" t="s">
        <v>71</v>
      </c>
      <c r="C31">
        <v>6754155001</v>
      </c>
      <c r="D31" s="3">
        <v>105</v>
      </c>
      <c r="E31" s="4">
        <v>450</v>
      </c>
      <c r="F31" s="5">
        <f t="shared" si="2"/>
        <v>47250</v>
      </c>
      <c r="H31" t="s">
        <v>77</v>
      </c>
      <c r="I31">
        <f t="shared" si="3"/>
        <v>1</v>
      </c>
      <c r="J31" t="s">
        <v>32</v>
      </c>
      <c r="K31">
        <f>SUMIF($A$2:$A$68,"*triple box*",$D$2:$D$68)</f>
        <v>0</v>
      </c>
    </row>
    <row r="32" spans="1:11" ht="15.75" thickBot="1" x14ac:dyDescent="0.3">
      <c r="F32" s="5">
        <f t="shared" si="2"/>
        <v>0</v>
      </c>
      <c r="H32" s="7" t="s">
        <v>127</v>
      </c>
      <c r="I32">
        <f t="shared" si="3"/>
        <v>2</v>
      </c>
    </row>
    <row r="33" spans="1:9" ht="15.75" thickBot="1" x14ac:dyDescent="0.3">
      <c r="A33" t="s">
        <v>74</v>
      </c>
      <c r="B33" t="s">
        <v>75</v>
      </c>
      <c r="C33" t="s">
        <v>76</v>
      </c>
      <c r="D33" s="3">
        <v>20</v>
      </c>
      <c r="E33" s="4">
        <v>250</v>
      </c>
      <c r="F33" s="5">
        <f t="shared" si="2"/>
        <v>5000</v>
      </c>
      <c r="H33" s="8" t="s">
        <v>129</v>
      </c>
      <c r="I33">
        <f t="shared" si="3"/>
        <v>2</v>
      </c>
    </row>
    <row r="34" spans="1:9" ht="15.75" thickBot="1" x14ac:dyDescent="0.3">
      <c r="A34" t="s">
        <v>77</v>
      </c>
      <c r="B34" t="s">
        <v>78</v>
      </c>
      <c r="C34" t="s">
        <v>78</v>
      </c>
      <c r="D34" s="3">
        <v>5</v>
      </c>
      <c r="E34" s="4">
        <v>200</v>
      </c>
      <c r="F34" s="5">
        <f t="shared" si="2"/>
        <v>1000</v>
      </c>
      <c r="H34" s="8" t="s">
        <v>130</v>
      </c>
      <c r="I34">
        <f t="shared" si="3"/>
        <v>2</v>
      </c>
    </row>
    <row r="35" spans="1:9" ht="15.75" thickBot="1" x14ac:dyDescent="0.3">
      <c r="H35" s="8" t="s">
        <v>132</v>
      </c>
      <c r="I35">
        <f t="shared" si="3"/>
        <v>2</v>
      </c>
    </row>
    <row r="36" spans="1:9" ht="15.75" thickBot="1" x14ac:dyDescent="0.3">
      <c r="A36" t="s">
        <v>127</v>
      </c>
      <c r="B36" t="s">
        <v>128</v>
      </c>
      <c r="D36" s="3">
        <v>200</v>
      </c>
      <c r="E36" s="4">
        <v>500</v>
      </c>
      <c r="F36" s="5">
        <f>E36*D36</f>
        <v>100000</v>
      </c>
      <c r="H36" s="8" t="s">
        <v>133</v>
      </c>
      <c r="I36">
        <f t="shared" si="3"/>
        <v>2</v>
      </c>
    </row>
    <row r="37" spans="1:9" ht="15.75" thickBot="1" x14ac:dyDescent="0.3">
      <c r="A37" t="s">
        <v>129</v>
      </c>
      <c r="B37" t="s">
        <v>128</v>
      </c>
      <c r="D37" s="3">
        <v>200</v>
      </c>
      <c r="E37" s="4">
        <v>150</v>
      </c>
      <c r="F37" s="5">
        <f t="shared" ref="F37:F51" si="5">E37*D37</f>
        <v>30000</v>
      </c>
      <c r="H37" s="8" t="s">
        <v>135</v>
      </c>
      <c r="I37">
        <f t="shared" si="3"/>
        <v>2</v>
      </c>
    </row>
    <row r="38" spans="1:9" ht="15.75" thickBot="1" x14ac:dyDescent="0.3">
      <c r="A38" t="s">
        <v>130</v>
      </c>
      <c r="B38" t="s">
        <v>131</v>
      </c>
      <c r="D38" s="3">
        <v>50</v>
      </c>
      <c r="E38" s="4">
        <v>50</v>
      </c>
      <c r="F38" s="5">
        <f t="shared" si="5"/>
        <v>2500</v>
      </c>
      <c r="H38" s="8" t="s">
        <v>137</v>
      </c>
      <c r="I38">
        <f t="shared" si="3"/>
        <v>2</v>
      </c>
    </row>
    <row r="39" spans="1:9" ht="15.75" thickBot="1" x14ac:dyDescent="0.3">
      <c r="A39" t="s">
        <v>132</v>
      </c>
      <c r="B39" t="s">
        <v>131</v>
      </c>
      <c r="D39" s="3">
        <v>50</v>
      </c>
      <c r="E39" s="4">
        <v>30</v>
      </c>
      <c r="F39" s="5">
        <f t="shared" si="5"/>
        <v>1500</v>
      </c>
      <c r="H39" s="8" t="s">
        <v>139</v>
      </c>
      <c r="I39">
        <f t="shared" si="3"/>
        <v>2</v>
      </c>
    </row>
    <row r="40" spans="1:9" ht="15.75" thickBot="1" x14ac:dyDescent="0.3">
      <c r="A40" t="s">
        <v>133</v>
      </c>
      <c r="B40" t="s">
        <v>134</v>
      </c>
      <c r="D40" s="3">
        <v>800</v>
      </c>
      <c r="E40" s="4">
        <v>50</v>
      </c>
      <c r="F40" s="5">
        <f t="shared" si="5"/>
        <v>40000</v>
      </c>
      <c r="H40" s="8" t="s">
        <v>141</v>
      </c>
      <c r="I40">
        <f t="shared" si="3"/>
        <v>2</v>
      </c>
    </row>
    <row r="41" spans="1:9" ht="15.75" thickBot="1" x14ac:dyDescent="0.3">
      <c r="A41" t="s">
        <v>135</v>
      </c>
      <c r="B41" t="s">
        <v>136</v>
      </c>
      <c r="D41" s="3">
        <v>20000</v>
      </c>
      <c r="E41" s="4">
        <v>2</v>
      </c>
      <c r="F41" s="5">
        <f t="shared" si="5"/>
        <v>40000</v>
      </c>
      <c r="H41" s="8" t="s">
        <v>143</v>
      </c>
      <c r="I41">
        <f t="shared" si="3"/>
        <v>2</v>
      </c>
    </row>
    <row r="42" spans="1:9" ht="15.75" thickBot="1" x14ac:dyDescent="0.3">
      <c r="A42" t="s">
        <v>137</v>
      </c>
      <c r="B42" t="s">
        <v>138</v>
      </c>
      <c r="D42" s="3">
        <v>400</v>
      </c>
      <c r="E42" s="4">
        <v>50</v>
      </c>
      <c r="F42" s="5">
        <f t="shared" si="5"/>
        <v>20000</v>
      </c>
      <c r="H42" s="8" t="s">
        <v>145</v>
      </c>
      <c r="I42">
        <f t="shared" si="3"/>
        <v>2</v>
      </c>
    </row>
    <row r="43" spans="1:9" ht="15.75" thickBot="1" x14ac:dyDescent="0.3">
      <c r="A43" t="s">
        <v>139</v>
      </c>
      <c r="B43" t="s">
        <v>140</v>
      </c>
      <c r="D43" s="3">
        <v>200</v>
      </c>
      <c r="E43" s="4">
        <v>25</v>
      </c>
      <c r="F43" s="5">
        <f t="shared" si="5"/>
        <v>5000</v>
      </c>
      <c r="H43" s="8" t="s">
        <v>146</v>
      </c>
      <c r="I43">
        <f t="shared" si="3"/>
        <v>2</v>
      </c>
    </row>
    <row r="44" spans="1:9" ht="15.75" thickBot="1" x14ac:dyDescent="0.3">
      <c r="A44" t="s">
        <v>141</v>
      </c>
      <c r="B44" t="s">
        <v>142</v>
      </c>
      <c r="D44" s="3">
        <v>400</v>
      </c>
      <c r="E44" s="4">
        <v>50</v>
      </c>
      <c r="F44" s="5">
        <f t="shared" si="5"/>
        <v>20000</v>
      </c>
      <c r="H44" s="8" t="s">
        <v>147</v>
      </c>
      <c r="I44">
        <f t="shared" si="3"/>
        <v>2</v>
      </c>
    </row>
    <row r="45" spans="1:9" ht="15.75" thickBot="1" x14ac:dyDescent="0.3">
      <c r="A45" t="s">
        <v>143</v>
      </c>
      <c r="B45" t="s">
        <v>144</v>
      </c>
      <c r="D45" s="3">
        <v>800</v>
      </c>
      <c r="E45" s="4">
        <v>50</v>
      </c>
      <c r="F45" s="5">
        <f t="shared" si="5"/>
        <v>40000</v>
      </c>
      <c r="H45" s="8" t="s">
        <v>149</v>
      </c>
      <c r="I45">
        <f t="shared" si="3"/>
        <v>2</v>
      </c>
    </row>
    <row r="46" spans="1:9" ht="15.75" thickBot="1" x14ac:dyDescent="0.3">
      <c r="A46" t="s">
        <v>145</v>
      </c>
      <c r="B46" t="s">
        <v>142</v>
      </c>
      <c r="D46" s="3">
        <v>400</v>
      </c>
      <c r="E46" s="4">
        <v>50</v>
      </c>
      <c r="F46" s="5">
        <f t="shared" si="5"/>
        <v>20000</v>
      </c>
      <c r="H46" s="8" t="s">
        <v>151</v>
      </c>
      <c r="I46">
        <f t="shared" si="3"/>
        <v>2</v>
      </c>
    </row>
    <row r="47" spans="1:9" ht="15.75" thickBot="1" x14ac:dyDescent="0.3">
      <c r="A47" t="s">
        <v>146</v>
      </c>
      <c r="B47" t="s">
        <v>142</v>
      </c>
      <c r="D47" s="3">
        <v>400</v>
      </c>
      <c r="E47" s="4">
        <v>50</v>
      </c>
      <c r="F47" s="5">
        <f t="shared" si="5"/>
        <v>20000</v>
      </c>
      <c r="H47" s="8" t="s">
        <v>153</v>
      </c>
      <c r="I47">
        <f t="shared" si="3"/>
        <v>2</v>
      </c>
    </row>
    <row r="48" spans="1:9" x14ac:dyDescent="0.25">
      <c r="A48" t="s">
        <v>147</v>
      </c>
      <c r="B48" t="s">
        <v>148</v>
      </c>
      <c r="D48" s="3">
        <v>400</v>
      </c>
      <c r="E48" s="4">
        <v>50</v>
      </c>
      <c r="F48" s="5">
        <f t="shared" si="5"/>
        <v>20000</v>
      </c>
    </row>
    <row r="49" spans="1:6" x14ac:dyDescent="0.25">
      <c r="A49" t="s">
        <v>149</v>
      </c>
      <c r="B49" t="s">
        <v>150</v>
      </c>
      <c r="D49" s="3">
        <v>800</v>
      </c>
      <c r="E49" s="4">
        <v>25</v>
      </c>
      <c r="F49" s="5">
        <f t="shared" si="5"/>
        <v>20000</v>
      </c>
    </row>
    <row r="50" spans="1:6" x14ac:dyDescent="0.25">
      <c r="A50" t="s">
        <v>151</v>
      </c>
      <c r="B50" t="s">
        <v>152</v>
      </c>
      <c r="D50" s="3">
        <v>20000</v>
      </c>
      <c r="E50" s="4">
        <v>0.5</v>
      </c>
      <c r="F50" s="5">
        <f t="shared" si="5"/>
        <v>10000</v>
      </c>
    </row>
    <row r="51" spans="1:6" x14ac:dyDescent="0.25">
      <c r="A51" t="s">
        <v>153</v>
      </c>
      <c r="B51" t="s">
        <v>154</v>
      </c>
      <c r="D51" s="3">
        <v>100</v>
      </c>
      <c r="E51" s="4">
        <v>30</v>
      </c>
      <c r="F51" s="5">
        <f t="shared" si="5"/>
        <v>3000</v>
      </c>
    </row>
    <row r="53" spans="1:6" x14ac:dyDescent="0.25">
      <c r="A53" t="s">
        <v>127</v>
      </c>
      <c r="B53" t="s">
        <v>155</v>
      </c>
      <c r="D53" s="3">
        <v>20</v>
      </c>
      <c r="E53" s="4">
        <v>500</v>
      </c>
      <c r="F53" s="9">
        <f>E53*D53</f>
        <v>10000</v>
      </c>
    </row>
    <row r="54" spans="1:6" x14ac:dyDescent="0.25">
      <c r="A54" t="s">
        <v>129</v>
      </c>
      <c r="B54" t="s">
        <v>155</v>
      </c>
      <c r="D54" s="3">
        <v>20</v>
      </c>
      <c r="E54" s="4">
        <v>150</v>
      </c>
      <c r="F54" s="9">
        <f t="shared" ref="F54:F68" si="6">E54*D54</f>
        <v>3000</v>
      </c>
    </row>
    <row r="55" spans="1:6" x14ac:dyDescent="0.25">
      <c r="A55" t="s">
        <v>130</v>
      </c>
      <c r="B55" t="s">
        <v>156</v>
      </c>
      <c r="D55" s="3">
        <v>5</v>
      </c>
      <c r="E55" s="4">
        <v>50</v>
      </c>
      <c r="F55" s="9">
        <f t="shared" si="6"/>
        <v>250</v>
      </c>
    </row>
    <row r="56" spans="1:6" x14ac:dyDescent="0.25">
      <c r="A56" t="s">
        <v>132</v>
      </c>
      <c r="B56" t="s">
        <v>156</v>
      </c>
      <c r="D56" s="3">
        <v>5</v>
      </c>
      <c r="E56" s="4">
        <v>30</v>
      </c>
      <c r="F56" s="9">
        <f t="shared" si="6"/>
        <v>150</v>
      </c>
    </row>
    <row r="57" spans="1:6" x14ac:dyDescent="0.25">
      <c r="A57" t="s">
        <v>133</v>
      </c>
      <c r="B57" t="s">
        <v>157</v>
      </c>
      <c r="D57" s="3">
        <v>80</v>
      </c>
      <c r="E57" s="4">
        <v>50</v>
      </c>
      <c r="F57" s="9">
        <f t="shared" si="6"/>
        <v>4000</v>
      </c>
    </row>
    <row r="58" spans="1:6" x14ac:dyDescent="0.25">
      <c r="A58" t="s">
        <v>135</v>
      </c>
      <c r="B58" t="s">
        <v>158</v>
      </c>
      <c r="D58" s="3">
        <v>20000</v>
      </c>
      <c r="E58" s="4">
        <v>2</v>
      </c>
      <c r="F58" s="9">
        <f t="shared" si="6"/>
        <v>40000</v>
      </c>
    </row>
    <row r="59" spans="1:6" x14ac:dyDescent="0.25">
      <c r="A59" t="s">
        <v>159</v>
      </c>
      <c r="B59" t="s">
        <v>160</v>
      </c>
      <c r="D59" s="3">
        <v>40</v>
      </c>
      <c r="E59" s="4">
        <v>50</v>
      </c>
      <c r="F59" s="9">
        <f t="shared" si="6"/>
        <v>2000</v>
      </c>
    </row>
    <row r="60" spans="1:6" x14ac:dyDescent="0.25">
      <c r="A60" t="s">
        <v>161</v>
      </c>
      <c r="B60" t="s">
        <v>162</v>
      </c>
      <c r="D60" s="3">
        <v>20</v>
      </c>
      <c r="E60" s="4">
        <v>25</v>
      </c>
      <c r="F60" s="9">
        <f t="shared" si="6"/>
        <v>500</v>
      </c>
    </row>
    <row r="61" spans="1:6" x14ac:dyDescent="0.25">
      <c r="A61" t="s">
        <v>163</v>
      </c>
      <c r="B61" t="s">
        <v>164</v>
      </c>
      <c r="D61" s="3">
        <v>40</v>
      </c>
      <c r="E61" s="4">
        <v>50</v>
      </c>
      <c r="F61" s="9">
        <f t="shared" si="6"/>
        <v>2000</v>
      </c>
    </row>
    <row r="62" spans="1:6" x14ac:dyDescent="0.25">
      <c r="A62" t="s">
        <v>143</v>
      </c>
      <c r="B62" t="s">
        <v>165</v>
      </c>
      <c r="D62" s="3">
        <v>80</v>
      </c>
      <c r="E62" s="4">
        <v>50</v>
      </c>
      <c r="F62" s="9">
        <f t="shared" si="6"/>
        <v>4000</v>
      </c>
    </row>
    <row r="63" spans="1:6" x14ac:dyDescent="0.25">
      <c r="A63" t="s">
        <v>166</v>
      </c>
      <c r="B63" t="s">
        <v>164</v>
      </c>
      <c r="D63" s="3">
        <v>40</v>
      </c>
      <c r="E63" s="4">
        <v>50</v>
      </c>
      <c r="F63" s="9">
        <f t="shared" si="6"/>
        <v>2000</v>
      </c>
    </row>
    <row r="64" spans="1:6" x14ac:dyDescent="0.25">
      <c r="A64" t="s">
        <v>167</v>
      </c>
      <c r="B64" t="s">
        <v>164</v>
      </c>
      <c r="D64" s="3">
        <v>40</v>
      </c>
      <c r="E64" s="4">
        <v>50</v>
      </c>
      <c r="F64" s="9">
        <f t="shared" si="6"/>
        <v>2000</v>
      </c>
    </row>
    <row r="65" spans="1:6" x14ac:dyDescent="0.25">
      <c r="A65" t="s">
        <v>168</v>
      </c>
      <c r="B65" t="s">
        <v>169</v>
      </c>
      <c r="D65" s="3">
        <v>40</v>
      </c>
      <c r="E65" s="4">
        <v>50</v>
      </c>
      <c r="F65" s="9">
        <f t="shared" si="6"/>
        <v>2000</v>
      </c>
    </row>
    <row r="66" spans="1:6" x14ac:dyDescent="0.25">
      <c r="A66" t="s">
        <v>170</v>
      </c>
      <c r="B66" t="s">
        <v>171</v>
      </c>
      <c r="D66" s="3">
        <v>80</v>
      </c>
      <c r="E66" s="4">
        <v>25</v>
      </c>
      <c r="F66" s="9">
        <f t="shared" si="6"/>
        <v>2000</v>
      </c>
    </row>
    <row r="67" spans="1:6" x14ac:dyDescent="0.25">
      <c r="A67" t="s">
        <v>151</v>
      </c>
      <c r="B67" t="s">
        <v>172</v>
      </c>
      <c r="D67" s="3">
        <v>20000</v>
      </c>
      <c r="E67" s="4">
        <v>0.5</v>
      </c>
      <c r="F67" s="9">
        <f t="shared" si="6"/>
        <v>10000</v>
      </c>
    </row>
    <row r="68" spans="1:6" x14ac:dyDescent="0.25">
      <c r="A68" t="s">
        <v>153</v>
      </c>
      <c r="B68" t="s">
        <v>173</v>
      </c>
      <c r="D68" s="3">
        <v>10</v>
      </c>
      <c r="E68" s="4">
        <v>30</v>
      </c>
      <c r="F68" s="9">
        <f t="shared" si="6"/>
        <v>300</v>
      </c>
    </row>
    <row r="69" spans="1:6" x14ac:dyDescent="0.25">
      <c r="F69" s="5">
        <f>SUM(F2:F68)</f>
        <v>833785</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7"/>
  <sheetViews>
    <sheetView topLeftCell="A27" workbookViewId="0">
      <selection activeCell="A47" sqref="A47"/>
    </sheetView>
  </sheetViews>
  <sheetFormatPr defaultRowHeight="15" x14ac:dyDescent="0.25"/>
  <cols>
    <col min="1" max="1" width="96.7109375" bestFit="1" customWidth="1"/>
    <col min="3" max="3" width="10.140625" bestFit="1" customWidth="1"/>
    <col min="4" max="4" width="12.140625" style="4" bestFit="1" customWidth="1"/>
  </cols>
  <sheetData>
    <row r="1" spans="1:4" x14ac:dyDescent="0.25">
      <c r="A1" t="s">
        <v>79</v>
      </c>
      <c r="B1" t="s">
        <v>80</v>
      </c>
      <c r="C1" t="s">
        <v>81</v>
      </c>
      <c r="D1" s="4" t="s">
        <v>37</v>
      </c>
    </row>
    <row r="2" spans="1:4" x14ac:dyDescent="0.25">
      <c r="A2" t="s">
        <v>38</v>
      </c>
      <c r="B2" s="3">
        <v>20000</v>
      </c>
      <c r="C2" s="4">
        <v>1</v>
      </c>
      <c r="D2" s="4">
        <f>C2*B2</f>
        <v>20000</v>
      </c>
    </row>
    <row r="3" spans="1:4" x14ac:dyDescent="0.25">
      <c r="A3" t="s">
        <v>39</v>
      </c>
      <c r="B3" s="3">
        <v>80</v>
      </c>
      <c r="C3" s="4">
        <v>1100</v>
      </c>
      <c r="D3" s="4">
        <f t="shared" ref="D3:D46" si="0">C3*B3</f>
        <v>88000</v>
      </c>
    </row>
    <row r="4" spans="1:4" x14ac:dyDescent="0.25">
      <c r="A4" t="s">
        <v>41</v>
      </c>
      <c r="B4" s="3">
        <v>20</v>
      </c>
      <c r="C4" s="4">
        <v>240</v>
      </c>
      <c r="D4" s="4">
        <f t="shared" si="0"/>
        <v>4800</v>
      </c>
    </row>
    <row r="5" spans="1:4" x14ac:dyDescent="0.25">
      <c r="A5" t="s">
        <v>43</v>
      </c>
      <c r="B5" s="3">
        <v>80</v>
      </c>
      <c r="C5" s="4">
        <v>160</v>
      </c>
      <c r="D5" s="4">
        <f t="shared" si="0"/>
        <v>12800</v>
      </c>
    </row>
    <row r="6" spans="1:4" x14ac:dyDescent="0.25">
      <c r="A6" t="s">
        <v>44</v>
      </c>
      <c r="B6" s="3">
        <v>10</v>
      </c>
      <c r="C6" s="4">
        <v>515</v>
      </c>
      <c r="D6" s="4">
        <f t="shared" si="0"/>
        <v>5150</v>
      </c>
    </row>
    <row r="7" spans="1:4" x14ac:dyDescent="0.25">
      <c r="A7" t="s">
        <v>45</v>
      </c>
      <c r="B7" s="3">
        <v>10</v>
      </c>
      <c r="C7" s="4">
        <v>150</v>
      </c>
      <c r="D7" s="4">
        <f t="shared" si="0"/>
        <v>1500</v>
      </c>
    </row>
    <row r="8" spans="1:4" x14ac:dyDescent="0.25">
      <c r="A8" t="s">
        <v>48</v>
      </c>
      <c r="B8" s="3">
        <v>40</v>
      </c>
      <c r="C8" s="4">
        <v>250</v>
      </c>
      <c r="D8" s="4">
        <f t="shared" si="0"/>
        <v>10000</v>
      </c>
    </row>
    <row r="9" spans="1:4" x14ac:dyDescent="0.25">
      <c r="A9" t="s">
        <v>50</v>
      </c>
      <c r="B9" s="3">
        <v>40</v>
      </c>
      <c r="C9" s="4">
        <v>130</v>
      </c>
      <c r="D9" s="4">
        <f t="shared" si="0"/>
        <v>5200</v>
      </c>
    </row>
    <row r="10" spans="1:4" x14ac:dyDescent="0.25">
      <c r="A10" t="s">
        <v>51</v>
      </c>
      <c r="B10" s="3">
        <v>15</v>
      </c>
      <c r="C10" s="4">
        <v>180</v>
      </c>
      <c r="D10" s="4">
        <f t="shared" si="0"/>
        <v>2700</v>
      </c>
    </row>
    <row r="11" spans="1:4" x14ac:dyDescent="0.25">
      <c r="A11" t="s">
        <v>52</v>
      </c>
      <c r="B11" s="3">
        <v>8</v>
      </c>
      <c r="C11" s="4">
        <v>150</v>
      </c>
      <c r="D11" s="4">
        <f t="shared" si="0"/>
        <v>1200</v>
      </c>
    </row>
    <row r="12" spans="1:4" x14ac:dyDescent="0.25">
      <c r="A12" t="s">
        <v>53</v>
      </c>
      <c r="B12" s="3">
        <v>50</v>
      </c>
      <c r="C12" s="4">
        <v>200</v>
      </c>
      <c r="D12" s="4">
        <f t="shared" si="0"/>
        <v>10000</v>
      </c>
    </row>
    <row r="13" spans="1:4" x14ac:dyDescent="0.25">
      <c r="A13" t="s">
        <v>55</v>
      </c>
      <c r="B13" s="3">
        <v>3</v>
      </c>
      <c r="C13" s="4">
        <v>35</v>
      </c>
      <c r="D13" s="4">
        <f t="shared" si="0"/>
        <v>105</v>
      </c>
    </row>
    <row r="14" spans="1:4" x14ac:dyDescent="0.25">
      <c r="A14" t="s">
        <v>56</v>
      </c>
      <c r="B14" s="3"/>
      <c r="C14" s="4"/>
      <c r="D14" s="4">
        <f t="shared" si="0"/>
        <v>0</v>
      </c>
    </row>
    <row r="15" spans="1:4" x14ac:dyDescent="0.25">
      <c r="A15" t="s">
        <v>58</v>
      </c>
      <c r="B15" s="3">
        <v>4</v>
      </c>
      <c r="C15" s="4">
        <v>35</v>
      </c>
      <c r="D15" s="4">
        <f t="shared" si="0"/>
        <v>140</v>
      </c>
    </row>
    <row r="16" spans="1:4" x14ac:dyDescent="0.25">
      <c r="A16" t="s">
        <v>59</v>
      </c>
      <c r="B16" s="3"/>
      <c r="C16" s="4"/>
      <c r="D16" s="4">
        <f t="shared" si="0"/>
        <v>0</v>
      </c>
    </row>
    <row r="17" spans="1:4" x14ac:dyDescent="0.25">
      <c r="A17" t="s">
        <v>60</v>
      </c>
      <c r="B17" s="3">
        <v>10</v>
      </c>
      <c r="C17" s="4">
        <v>500</v>
      </c>
      <c r="D17" s="4">
        <f t="shared" si="0"/>
        <v>5000</v>
      </c>
    </row>
    <row r="18" spans="1:4" x14ac:dyDescent="0.25">
      <c r="A18" t="s">
        <v>61</v>
      </c>
      <c r="B18" s="3"/>
      <c r="C18" s="4"/>
      <c r="D18" s="4">
        <f t="shared" si="0"/>
        <v>0</v>
      </c>
    </row>
    <row r="19" spans="1:4" x14ac:dyDescent="0.25">
      <c r="A19" t="s">
        <v>62</v>
      </c>
      <c r="B19" s="3">
        <v>5</v>
      </c>
      <c r="C19" s="4">
        <v>30</v>
      </c>
      <c r="D19" s="4">
        <f t="shared" si="0"/>
        <v>150</v>
      </c>
    </row>
    <row r="20" spans="1:4" x14ac:dyDescent="0.25">
      <c r="A20" t="s">
        <v>63</v>
      </c>
      <c r="B20" s="3"/>
      <c r="C20" s="4"/>
      <c r="D20" s="4">
        <f t="shared" si="0"/>
        <v>0</v>
      </c>
    </row>
    <row r="21" spans="1:4" x14ac:dyDescent="0.25">
      <c r="A21" t="s">
        <v>64</v>
      </c>
      <c r="B21" s="3">
        <v>3</v>
      </c>
      <c r="C21" s="4">
        <v>30</v>
      </c>
      <c r="D21" s="4">
        <f t="shared" si="0"/>
        <v>90</v>
      </c>
    </row>
    <row r="22" spans="1:4" x14ac:dyDescent="0.25">
      <c r="A22" t="s">
        <v>65</v>
      </c>
      <c r="B22" s="3"/>
      <c r="C22" s="4"/>
      <c r="D22" s="4">
        <f t="shared" si="0"/>
        <v>0</v>
      </c>
    </row>
    <row r="23" spans="1:4" x14ac:dyDescent="0.25">
      <c r="A23" t="s">
        <v>66</v>
      </c>
      <c r="B23" s="3">
        <v>6</v>
      </c>
      <c r="C23" s="4">
        <v>500</v>
      </c>
      <c r="D23" s="4">
        <f t="shared" si="0"/>
        <v>3000</v>
      </c>
    </row>
    <row r="24" spans="1:4" x14ac:dyDescent="0.25">
      <c r="A24" t="s">
        <v>67</v>
      </c>
      <c r="B24" s="3"/>
      <c r="C24" s="4"/>
      <c r="D24" s="4">
        <f t="shared" si="0"/>
        <v>0</v>
      </c>
    </row>
    <row r="25" spans="1:4" x14ac:dyDescent="0.25">
      <c r="A25" t="s">
        <v>68</v>
      </c>
      <c r="B25" s="3">
        <v>20</v>
      </c>
      <c r="C25" s="4">
        <v>2000</v>
      </c>
      <c r="D25" s="4">
        <f t="shared" si="0"/>
        <v>40000</v>
      </c>
    </row>
    <row r="26" spans="1:4" x14ac:dyDescent="0.25">
      <c r="A26" t="s">
        <v>70</v>
      </c>
      <c r="B26" s="3">
        <v>200</v>
      </c>
      <c r="C26" s="4">
        <v>450</v>
      </c>
      <c r="D26" s="4">
        <f t="shared" si="0"/>
        <v>90000</v>
      </c>
    </row>
    <row r="27" spans="1:4" x14ac:dyDescent="0.25">
      <c r="A27" t="s">
        <v>72</v>
      </c>
      <c r="B27" s="3">
        <v>10</v>
      </c>
      <c r="C27" s="4">
        <v>450</v>
      </c>
      <c r="D27" s="4">
        <f t="shared" si="0"/>
        <v>4500</v>
      </c>
    </row>
    <row r="28" spans="1:4" x14ac:dyDescent="0.25">
      <c r="A28" t="s">
        <v>73</v>
      </c>
      <c r="B28" s="3">
        <v>105</v>
      </c>
      <c r="C28" s="4">
        <v>450</v>
      </c>
      <c r="D28" s="4">
        <f t="shared" si="0"/>
        <v>47250</v>
      </c>
    </row>
    <row r="29" spans="1:4" x14ac:dyDescent="0.25">
      <c r="A29" t="s">
        <v>74</v>
      </c>
      <c r="B29" s="3">
        <v>20</v>
      </c>
      <c r="C29" s="4">
        <v>250</v>
      </c>
      <c r="D29" s="4">
        <f t="shared" si="0"/>
        <v>5000</v>
      </c>
    </row>
    <row r="30" spans="1:4" x14ac:dyDescent="0.25">
      <c r="A30" t="s">
        <v>77</v>
      </c>
      <c r="B30" s="3">
        <v>5</v>
      </c>
      <c r="C30" s="4">
        <v>200</v>
      </c>
      <c r="D30" s="4">
        <f t="shared" si="0"/>
        <v>1000</v>
      </c>
    </row>
    <row r="31" spans="1:4" x14ac:dyDescent="0.25">
      <c r="A31" t="s">
        <v>127</v>
      </c>
      <c r="B31">
        <f>200+20</f>
        <v>220</v>
      </c>
      <c r="C31" s="4">
        <v>500</v>
      </c>
      <c r="D31" s="4">
        <f t="shared" si="0"/>
        <v>110000</v>
      </c>
    </row>
    <row r="32" spans="1:4" x14ac:dyDescent="0.25">
      <c r="A32" t="s">
        <v>129</v>
      </c>
      <c r="B32">
        <f>200+20</f>
        <v>220</v>
      </c>
      <c r="C32" s="4">
        <v>150</v>
      </c>
      <c r="D32" s="4">
        <f t="shared" si="0"/>
        <v>33000</v>
      </c>
    </row>
    <row r="33" spans="1:4" x14ac:dyDescent="0.25">
      <c r="A33" t="s">
        <v>130</v>
      </c>
      <c r="B33">
        <f>'PCR reagents and consumables'!D38+'PCR reagents and consumables'!D55</f>
        <v>55</v>
      </c>
      <c r="C33" s="4">
        <v>50</v>
      </c>
      <c r="D33" s="4">
        <f t="shared" si="0"/>
        <v>2750</v>
      </c>
    </row>
    <row r="34" spans="1:4" x14ac:dyDescent="0.25">
      <c r="A34" t="s">
        <v>132</v>
      </c>
      <c r="B34">
        <f>'PCR reagents and consumables'!D39+'PCR reagents and consumables'!D56</f>
        <v>55</v>
      </c>
      <c r="C34" s="4">
        <v>30</v>
      </c>
      <c r="D34" s="4">
        <f t="shared" si="0"/>
        <v>1650</v>
      </c>
    </row>
    <row r="35" spans="1:4" x14ac:dyDescent="0.25">
      <c r="A35" t="s">
        <v>133</v>
      </c>
      <c r="B35">
        <f>'PCR reagents and consumables'!D40+'PCR reagents and consumables'!D57</f>
        <v>880</v>
      </c>
      <c r="C35" s="4">
        <v>50</v>
      </c>
      <c r="D35" s="4">
        <f t="shared" si="0"/>
        <v>44000</v>
      </c>
    </row>
    <row r="36" spans="1:4" x14ac:dyDescent="0.25">
      <c r="A36" t="s">
        <v>135</v>
      </c>
      <c r="B36">
        <f>'PCR reagents and consumables'!D41+'PCR reagents and consumables'!D58</f>
        <v>40000</v>
      </c>
      <c r="C36" s="4">
        <v>2</v>
      </c>
      <c r="D36" s="4">
        <f t="shared" si="0"/>
        <v>80000</v>
      </c>
    </row>
    <row r="37" spans="1:4" x14ac:dyDescent="0.25">
      <c r="A37" t="s">
        <v>159</v>
      </c>
      <c r="B37">
        <f>'PCR reagents and consumables'!D42+'PCR reagents and consumables'!D59</f>
        <v>440</v>
      </c>
      <c r="C37" s="4">
        <v>50</v>
      </c>
      <c r="D37" s="4">
        <f t="shared" si="0"/>
        <v>22000</v>
      </c>
    </row>
    <row r="38" spans="1:4" x14ac:dyDescent="0.25">
      <c r="A38" t="s">
        <v>161</v>
      </c>
      <c r="B38">
        <f>'PCR reagents and consumables'!D43+'PCR reagents and consumables'!D60</f>
        <v>220</v>
      </c>
      <c r="C38" s="4">
        <v>25</v>
      </c>
      <c r="D38" s="4">
        <f t="shared" si="0"/>
        <v>5500</v>
      </c>
    </row>
    <row r="39" spans="1:4" x14ac:dyDescent="0.25">
      <c r="A39" t="s">
        <v>163</v>
      </c>
      <c r="B39">
        <f>'PCR reagents and consumables'!D44+'PCR reagents and consumables'!D61</f>
        <v>440</v>
      </c>
      <c r="C39" s="4">
        <v>50</v>
      </c>
      <c r="D39" s="4">
        <f t="shared" si="0"/>
        <v>22000</v>
      </c>
    </row>
    <row r="40" spans="1:4" x14ac:dyDescent="0.25">
      <c r="A40" t="s">
        <v>143</v>
      </c>
      <c r="B40">
        <f>'PCR reagents and consumables'!D45+'PCR reagents and consumables'!D62</f>
        <v>880</v>
      </c>
      <c r="C40" s="4">
        <v>50</v>
      </c>
      <c r="D40" s="4">
        <f t="shared" si="0"/>
        <v>44000</v>
      </c>
    </row>
    <row r="41" spans="1:4" x14ac:dyDescent="0.25">
      <c r="A41" t="s">
        <v>166</v>
      </c>
      <c r="B41">
        <f>'PCR reagents and consumables'!D46+'PCR reagents and consumables'!D63</f>
        <v>440</v>
      </c>
      <c r="C41" s="4">
        <v>50</v>
      </c>
      <c r="D41" s="4">
        <f t="shared" si="0"/>
        <v>22000</v>
      </c>
    </row>
    <row r="42" spans="1:4" x14ac:dyDescent="0.25">
      <c r="A42" t="s">
        <v>167</v>
      </c>
      <c r="B42">
        <f>'PCR reagents and consumables'!D47+'PCR reagents and consumables'!D64</f>
        <v>440</v>
      </c>
      <c r="C42" s="4">
        <v>50</v>
      </c>
      <c r="D42" s="4">
        <f t="shared" si="0"/>
        <v>22000</v>
      </c>
    </row>
    <row r="43" spans="1:4" x14ac:dyDescent="0.25">
      <c r="A43" t="s">
        <v>168</v>
      </c>
      <c r="B43">
        <f>'PCR reagents and consumables'!D48+'PCR reagents and consumables'!D65</f>
        <v>440</v>
      </c>
      <c r="C43" s="4">
        <v>50</v>
      </c>
      <c r="D43" s="4">
        <f t="shared" si="0"/>
        <v>22000</v>
      </c>
    </row>
    <row r="44" spans="1:4" x14ac:dyDescent="0.25">
      <c r="A44" t="s">
        <v>170</v>
      </c>
      <c r="B44">
        <f>'PCR reagents and consumables'!D49+'PCR reagents and consumables'!D66</f>
        <v>880</v>
      </c>
      <c r="C44" s="4">
        <v>25</v>
      </c>
      <c r="D44" s="4">
        <f t="shared" si="0"/>
        <v>22000</v>
      </c>
    </row>
    <row r="45" spans="1:4" x14ac:dyDescent="0.25">
      <c r="A45" t="s">
        <v>151</v>
      </c>
      <c r="B45">
        <f>'PCR reagents and consumables'!D50+'PCR reagents and consumables'!D67</f>
        <v>40000</v>
      </c>
      <c r="C45" s="4">
        <v>0.5</v>
      </c>
      <c r="D45" s="4">
        <f t="shared" si="0"/>
        <v>20000</v>
      </c>
    </row>
    <row r="46" spans="1:4" x14ac:dyDescent="0.25">
      <c r="A46" t="s">
        <v>153</v>
      </c>
      <c r="B46">
        <f>'PCR reagents and consumables'!D51+'PCR reagents and consumables'!D68</f>
        <v>110</v>
      </c>
      <c r="C46" s="4">
        <v>30</v>
      </c>
      <c r="D46" s="4">
        <f t="shared" si="0"/>
        <v>3300</v>
      </c>
    </row>
    <row r="47" spans="1:4" x14ac:dyDescent="0.25">
      <c r="D47" s="4">
        <f>SUM(D2:D46)</f>
        <v>833785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4"/>
  <sheetViews>
    <sheetView topLeftCell="C25" workbookViewId="0">
      <selection activeCell="S2" sqref="S2"/>
    </sheetView>
  </sheetViews>
  <sheetFormatPr defaultRowHeight="15" x14ac:dyDescent="0.25"/>
  <cols>
    <col min="1" max="1" width="17.5703125" bestFit="1" customWidth="1"/>
    <col min="2" max="2" width="55.28515625" bestFit="1" customWidth="1"/>
    <col min="3" max="3" width="10.140625" style="1" bestFit="1" customWidth="1"/>
    <col min="4" max="4" width="8.7109375" style="4"/>
    <col min="5" max="5" width="11.140625" bestFit="1" customWidth="1"/>
    <col min="8" max="14" width="0" hidden="1" customWidth="1"/>
    <col min="15" max="15" width="40.7109375" style="10" customWidth="1"/>
    <col min="16" max="16" width="11.140625" style="1" bestFit="1" customWidth="1"/>
    <col min="17" max="17" width="11.140625" bestFit="1" customWidth="1"/>
    <col min="18" max="18" width="11" bestFit="1" customWidth="1"/>
    <col min="19" max="19" width="14.5703125" bestFit="1" customWidth="1"/>
  </cols>
  <sheetData>
    <row r="1" spans="1:19" x14ac:dyDescent="0.25">
      <c r="A1" t="s">
        <v>82</v>
      </c>
      <c r="B1" t="s">
        <v>83</v>
      </c>
      <c r="C1" s="1" t="s">
        <v>84</v>
      </c>
      <c r="D1" s="4" t="s">
        <v>81</v>
      </c>
      <c r="E1" t="s">
        <v>37</v>
      </c>
      <c r="Q1" t="s">
        <v>308</v>
      </c>
      <c r="R1" t="s">
        <v>307</v>
      </c>
      <c r="S1" t="s">
        <v>309</v>
      </c>
    </row>
    <row r="2" spans="1:19" x14ac:dyDescent="0.25">
      <c r="A2" t="s">
        <v>85</v>
      </c>
      <c r="B2" t="s">
        <v>86</v>
      </c>
      <c r="C2" s="1">
        <v>2000</v>
      </c>
      <c r="D2" s="4">
        <v>13</v>
      </c>
      <c r="E2" s="6">
        <f>D2*C2</f>
        <v>26000</v>
      </c>
      <c r="H2" t="s">
        <v>86</v>
      </c>
      <c r="O2" s="10" t="s">
        <v>4</v>
      </c>
      <c r="P2" s="1">
        <f>SUMIF($B$2:$B$44,"*Glove*",C2:C44)</f>
        <v>165000</v>
      </c>
      <c r="Q2" s="4">
        <v>7.0000000000000007E-2</v>
      </c>
      <c r="R2" s="3">
        <v>19000000</v>
      </c>
      <c r="S2" s="4">
        <f>Q2*R2</f>
        <v>1330000.0000000002</v>
      </c>
    </row>
    <row r="3" spans="1:19" x14ac:dyDescent="0.25">
      <c r="A3" t="s">
        <v>87</v>
      </c>
      <c r="B3" t="s">
        <v>88</v>
      </c>
      <c r="C3" s="1">
        <v>10000</v>
      </c>
      <c r="D3" s="4">
        <v>1.29</v>
      </c>
      <c r="E3" s="6">
        <f t="shared" ref="E3:E22" si="0">D3*C3</f>
        <v>12900</v>
      </c>
      <c r="H3" t="s">
        <v>88</v>
      </c>
      <c r="O3" s="10" t="s">
        <v>5</v>
      </c>
      <c r="P3" s="1">
        <f>SUMIF(B2:B44,"*gown*",C2:C44)</f>
        <v>44000</v>
      </c>
      <c r="Q3" s="4">
        <v>0.8</v>
      </c>
      <c r="R3" s="3">
        <v>24000000</v>
      </c>
      <c r="S3" s="4">
        <f t="shared" ref="S3:S34" si="1">Q3*R3</f>
        <v>19200000</v>
      </c>
    </row>
    <row r="4" spans="1:19" x14ac:dyDescent="0.25">
      <c r="A4" t="s">
        <v>89</v>
      </c>
      <c r="B4" t="s">
        <v>90</v>
      </c>
      <c r="C4" s="1">
        <v>20000</v>
      </c>
      <c r="D4" s="4">
        <v>0.35</v>
      </c>
      <c r="E4" s="6">
        <f t="shared" si="0"/>
        <v>7000</v>
      </c>
      <c r="H4" t="s">
        <v>90</v>
      </c>
      <c r="O4" s="10" t="s">
        <v>6</v>
      </c>
      <c r="P4" s="1">
        <f>SUMIF(B2:B44,"*goggle*",C2:C44)</f>
        <v>2200</v>
      </c>
      <c r="Q4" s="4">
        <v>13</v>
      </c>
      <c r="R4" s="3">
        <v>200000</v>
      </c>
      <c r="S4" s="4">
        <f t="shared" si="1"/>
        <v>2600000</v>
      </c>
    </row>
    <row r="5" spans="1:19" x14ac:dyDescent="0.25">
      <c r="A5" t="s">
        <v>91</v>
      </c>
      <c r="B5" t="s">
        <v>92</v>
      </c>
      <c r="C5" s="1">
        <v>100</v>
      </c>
      <c r="D5" s="4">
        <v>6</v>
      </c>
      <c r="E5" s="6">
        <f t="shared" si="0"/>
        <v>600</v>
      </c>
      <c r="H5" t="s">
        <v>92</v>
      </c>
      <c r="O5" s="10" t="s">
        <v>7</v>
      </c>
      <c r="P5" s="1">
        <f>SUMIF(B2:B44,"*mask surgical*",C2:C44)</f>
        <v>33000</v>
      </c>
      <c r="Q5" s="4">
        <v>0.66</v>
      </c>
      <c r="R5" s="3">
        <v>40000000</v>
      </c>
      <c r="S5" s="4">
        <f t="shared" si="1"/>
        <v>26400000</v>
      </c>
    </row>
    <row r="6" spans="1:19" x14ac:dyDescent="0.25">
      <c r="A6" t="s">
        <v>93</v>
      </c>
      <c r="B6" t="s">
        <v>94</v>
      </c>
      <c r="C6" s="1">
        <v>15000</v>
      </c>
      <c r="D6" s="4">
        <v>0.8</v>
      </c>
      <c r="E6" s="6">
        <f t="shared" si="0"/>
        <v>12000</v>
      </c>
      <c r="H6" t="s">
        <v>94</v>
      </c>
      <c r="O6" s="10" t="s">
        <v>8</v>
      </c>
      <c r="P6" s="1">
        <f>SUMIF(B3:B45,"*N95*",C3:C45)</f>
        <v>11000</v>
      </c>
      <c r="Q6" s="4">
        <v>3</v>
      </c>
      <c r="R6" s="3">
        <v>4000000</v>
      </c>
      <c r="S6" s="4">
        <f t="shared" si="1"/>
        <v>12000000</v>
      </c>
    </row>
    <row r="7" spans="1:19" x14ac:dyDescent="0.25">
      <c r="A7" t="s">
        <v>95</v>
      </c>
      <c r="B7" t="s">
        <v>96</v>
      </c>
      <c r="C7" s="1">
        <v>15000</v>
      </c>
      <c r="D7" s="4">
        <v>0.8</v>
      </c>
      <c r="E7" s="6">
        <f t="shared" si="0"/>
        <v>12000</v>
      </c>
      <c r="H7" t="s">
        <v>96</v>
      </c>
      <c r="O7" s="10" t="s">
        <v>9</v>
      </c>
      <c r="P7" s="1">
        <f>SUMIF($B$2:$B$46,"*test kit*",$C$2:$C$46)</f>
        <v>0</v>
      </c>
      <c r="Q7" s="4">
        <v>400</v>
      </c>
      <c r="R7" s="3"/>
      <c r="S7" s="4">
        <f t="shared" si="1"/>
        <v>0</v>
      </c>
    </row>
    <row r="8" spans="1:19" x14ac:dyDescent="0.25">
      <c r="A8" t="s">
        <v>97</v>
      </c>
      <c r="B8" t="s">
        <v>98</v>
      </c>
      <c r="C8" s="1">
        <v>5000</v>
      </c>
      <c r="D8" s="4">
        <v>0.8</v>
      </c>
      <c r="E8" s="6">
        <f t="shared" si="0"/>
        <v>4000</v>
      </c>
      <c r="H8" t="s">
        <v>98</v>
      </c>
      <c r="O8" s="10" t="s">
        <v>10</v>
      </c>
      <c r="P8" s="1">
        <f>SUMIF($B$2:$B$46,"*soap*",$C$2:$C$46)</f>
        <v>0</v>
      </c>
      <c r="Q8" s="4">
        <v>10</v>
      </c>
      <c r="R8" s="3"/>
      <c r="S8" s="4">
        <f t="shared" si="1"/>
        <v>0</v>
      </c>
    </row>
    <row r="9" spans="1:19" x14ac:dyDescent="0.25">
      <c r="A9" t="s">
        <v>99</v>
      </c>
      <c r="B9" t="s">
        <v>100</v>
      </c>
      <c r="C9" s="1">
        <v>5000</v>
      </c>
      <c r="D9" s="4">
        <v>0.8</v>
      </c>
      <c r="E9" s="6">
        <f t="shared" si="0"/>
        <v>4000</v>
      </c>
      <c r="H9" t="s">
        <v>100</v>
      </c>
      <c r="O9" s="10" t="s">
        <v>11</v>
      </c>
      <c r="P9" s="1">
        <f>SUMIF($B$2:$B$46,"*alcohol-based*",$C$2:$C$46)</f>
        <v>11000</v>
      </c>
      <c r="Q9" s="4">
        <v>12</v>
      </c>
      <c r="R9" s="3">
        <v>142000</v>
      </c>
      <c r="S9" s="4">
        <f t="shared" si="1"/>
        <v>1704000</v>
      </c>
    </row>
    <row r="10" spans="1:19" ht="30" x14ac:dyDescent="0.25">
      <c r="A10" t="s">
        <v>101</v>
      </c>
      <c r="B10" t="s">
        <v>102</v>
      </c>
      <c r="C10" s="1">
        <v>50000</v>
      </c>
      <c r="D10" s="4">
        <v>7.0000000000000007E-2</v>
      </c>
      <c r="E10" s="6">
        <f t="shared" si="0"/>
        <v>3500.0000000000005</v>
      </c>
      <c r="H10" t="s">
        <v>102</v>
      </c>
      <c r="O10" s="10" t="s">
        <v>12</v>
      </c>
      <c r="P10" s="1">
        <f>SUMIF($B$2:$B$46,"*Chlorine-based*",$C$2:$C$46)</f>
        <v>0</v>
      </c>
      <c r="Q10" s="4">
        <v>15</v>
      </c>
      <c r="R10" s="3"/>
      <c r="S10" s="4">
        <f t="shared" si="1"/>
        <v>0</v>
      </c>
    </row>
    <row r="11" spans="1:19" x14ac:dyDescent="0.25">
      <c r="A11" t="s">
        <v>103</v>
      </c>
      <c r="B11" t="s">
        <v>104</v>
      </c>
      <c r="C11" s="1">
        <v>50000</v>
      </c>
      <c r="D11" s="4">
        <v>7.0000000000000007E-2</v>
      </c>
      <c r="E11" s="6">
        <f t="shared" si="0"/>
        <v>3500.0000000000005</v>
      </c>
      <c r="H11" t="s">
        <v>104</v>
      </c>
      <c r="O11" s="10" t="s">
        <v>13</v>
      </c>
      <c r="P11" s="1">
        <f>SUMIF($B$2:$B$46,"*tissue roll*",$C$2:$C$46)</f>
        <v>0</v>
      </c>
      <c r="Q11" s="4">
        <v>5</v>
      </c>
      <c r="R11" s="3"/>
      <c r="S11" s="4">
        <f t="shared" si="1"/>
        <v>0</v>
      </c>
    </row>
    <row r="12" spans="1:19" x14ac:dyDescent="0.25">
      <c r="A12" t="s">
        <v>105</v>
      </c>
      <c r="B12" t="s">
        <v>106</v>
      </c>
      <c r="C12" s="1">
        <v>25000</v>
      </c>
      <c r="D12" s="4">
        <v>7.0000000000000007E-2</v>
      </c>
      <c r="E12" s="6">
        <f t="shared" si="0"/>
        <v>1750.0000000000002</v>
      </c>
      <c r="H12" t="s">
        <v>106</v>
      </c>
      <c r="O12" s="10" t="s">
        <v>14</v>
      </c>
      <c r="P12" s="1">
        <f>SUMIF($B$2:$B$46,"*thermometers*",$C$2:$C$46)</f>
        <v>0</v>
      </c>
      <c r="Q12" s="4">
        <v>4</v>
      </c>
      <c r="R12" s="3"/>
      <c r="S12" s="4">
        <f t="shared" si="1"/>
        <v>0</v>
      </c>
    </row>
    <row r="13" spans="1:19" x14ac:dyDescent="0.25">
      <c r="A13" t="s">
        <v>107</v>
      </c>
      <c r="B13" t="s">
        <v>108</v>
      </c>
      <c r="C13" s="1">
        <v>25000</v>
      </c>
      <c r="D13" s="4">
        <v>7.0000000000000007E-2</v>
      </c>
      <c r="E13" s="6">
        <f t="shared" si="0"/>
        <v>1750.0000000000002</v>
      </c>
      <c r="H13" t="s">
        <v>108</v>
      </c>
      <c r="O13" s="10" t="s">
        <v>15</v>
      </c>
      <c r="P13" s="1">
        <f>SUMIF($B$2:$B$46,"*Infrared*",$C$2:$C$46)</f>
        <v>110</v>
      </c>
      <c r="Q13" s="4">
        <v>25</v>
      </c>
      <c r="R13" s="3">
        <v>2020</v>
      </c>
      <c r="S13" s="4">
        <f t="shared" si="1"/>
        <v>50500</v>
      </c>
    </row>
    <row r="14" spans="1:19" ht="45" x14ac:dyDescent="0.25">
      <c r="A14" t="s">
        <v>109</v>
      </c>
      <c r="B14" t="s">
        <v>110</v>
      </c>
      <c r="C14" s="1">
        <v>10000</v>
      </c>
      <c r="D14" s="4">
        <v>0.66</v>
      </c>
      <c r="E14" s="6">
        <f t="shared" si="0"/>
        <v>6600</v>
      </c>
      <c r="H14" t="s">
        <v>110</v>
      </c>
      <c r="O14" s="10" t="s">
        <v>16</v>
      </c>
      <c r="P14" s="1">
        <f>SUMIF($B$2:$B$46,"*ventilator*",$C$2:$C$46)</f>
        <v>0</v>
      </c>
      <c r="Q14" s="4">
        <v>25000</v>
      </c>
      <c r="R14" s="3"/>
      <c r="S14" s="4">
        <f t="shared" si="1"/>
        <v>0</v>
      </c>
    </row>
    <row r="15" spans="1:19" x14ac:dyDescent="0.25">
      <c r="A15" t="s">
        <v>111</v>
      </c>
      <c r="B15" t="s">
        <v>112</v>
      </c>
      <c r="C15" s="1">
        <v>10000</v>
      </c>
      <c r="D15" s="4">
        <v>0.66</v>
      </c>
      <c r="E15" s="6">
        <f t="shared" si="0"/>
        <v>6600</v>
      </c>
      <c r="H15" t="s">
        <v>112</v>
      </c>
      <c r="O15" s="10" t="s">
        <v>17</v>
      </c>
      <c r="P15" s="1">
        <f t="shared" ref="P15" si="2">SUMIF($B$2:$B$46,"*ventilator*",$C$2:$C$46)</f>
        <v>0</v>
      </c>
      <c r="Q15" s="4">
        <v>14000</v>
      </c>
      <c r="R15" s="3"/>
      <c r="S15" s="4">
        <f t="shared" si="1"/>
        <v>0</v>
      </c>
    </row>
    <row r="16" spans="1:19" ht="45" x14ac:dyDescent="0.25">
      <c r="A16" t="s">
        <v>113</v>
      </c>
      <c r="B16" t="s">
        <v>114</v>
      </c>
      <c r="C16" s="1">
        <v>10000</v>
      </c>
      <c r="D16" s="4">
        <v>0.66</v>
      </c>
      <c r="E16" s="6">
        <f t="shared" si="0"/>
        <v>6600</v>
      </c>
      <c r="H16" t="s">
        <v>114</v>
      </c>
      <c r="O16" s="10" t="s">
        <v>36</v>
      </c>
      <c r="P16" s="1">
        <f>SUMIF($B$2:$B$46,"*defibrilator*",$C$2:$C$46)</f>
        <v>0</v>
      </c>
      <c r="Q16" s="4">
        <v>4000</v>
      </c>
      <c r="R16" s="3"/>
      <c r="S16" s="4">
        <f t="shared" si="1"/>
        <v>0</v>
      </c>
    </row>
    <row r="17" spans="1:19" x14ac:dyDescent="0.25">
      <c r="A17" t="s">
        <v>115</v>
      </c>
      <c r="B17" t="s">
        <v>116</v>
      </c>
      <c r="C17" s="1">
        <v>10000</v>
      </c>
      <c r="D17" s="4">
        <v>0.66</v>
      </c>
      <c r="E17" s="6">
        <f t="shared" si="0"/>
        <v>6600</v>
      </c>
      <c r="H17" t="s">
        <v>116</v>
      </c>
      <c r="O17" s="10" t="s">
        <v>18</v>
      </c>
      <c r="P17" s="1">
        <f>SUMIF($B$2:$B$46,"*ECG*",$C$2:$C$46)</f>
        <v>0</v>
      </c>
      <c r="Q17" s="4">
        <v>1400</v>
      </c>
      <c r="R17" s="3"/>
      <c r="S17" s="4">
        <f t="shared" si="1"/>
        <v>0</v>
      </c>
    </row>
    <row r="18" spans="1:19" x14ac:dyDescent="0.25">
      <c r="A18" t="s">
        <v>117</v>
      </c>
      <c r="B18" t="s">
        <v>118</v>
      </c>
      <c r="C18" s="1">
        <v>2000</v>
      </c>
      <c r="D18" s="4">
        <v>0.43</v>
      </c>
      <c r="E18" s="6">
        <f t="shared" si="0"/>
        <v>860</v>
      </c>
      <c r="H18" t="s">
        <v>118</v>
      </c>
      <c r="O18" s="10" t="s">
        <v>19</v>
      </c>
      <c r="P18" s="1">
        <f t="shared" ref="P18:P34" si="3">SUMIF($B$2:$B$46,"*ECG*",$C$2:$C$46)</f>
        <v>0</v>
      </c>
      <c r="Q18" s="4">
        <v>60000</v>
      </c>
      <c r="R18" s="3"/>
      <c r="S18" s="4">
        <f t="shared" si="1"/>
        <v>0</v>
      </c>
    </row>
    <row r="19" spans="1:19" ht="30" x14ac:dyDescent="0.25">
      <c r="A19" t="s">
        <v>119</v>
      </c>
      <c r="B19" t="s">
        <v>120</v>
      </c>
      <c r="C19" s="1">
        <v>100</v>
      </c>
      <c r="D19" s="4">
        <v>25</v>
      </c>
      <c r="E19" s="6">
        <f t="shared" si="0"/>
        <v>2500</v>
      </c>
      <c r="H19" t="s">
        <v>120</v>
      </c>
      <c r="O19" s="10" t="s">
        <v>20</v>
      </c>
      <c r="P19" s="1">
        <f t="shared" si="3"/>
        <v>0</v>
      </c>
      <c r="Q19" s="4">
        <v>80000</v>
      </c>
      <c r="R19" s="3"/>
      <c r="S19" s="4">
        <f t="shared" si="1"/>
        <v>0</v>
      </c>
    </row>
    <row r="20" spans="1:19" x14ac:dyDescent="0.25">
      <c r="A20" t="s">
        <v>121</v>
      </c>
      <c r="B20" t="s">
        <v>122</v>
      </c>
      <c r="C20" s="1">
        <v>1000</v>
      </c>
      <c r="D20" s="4">
        <v>0.82</v>
      </c>
      <c r="E20" s="6">
        <f t="shared" si="0"/>
        <v>820</v>
      </c>
      <c r="H20" t="s">
        <v>122</v>
      </c>
      <c r="O20" s="10" t="s">
        <v>21</v>
      </c>
      <c r="P20" s="1">
        <f>SUMIF($B$2:$B$46,"*oxygen gen*",$C$2:$C$46)</f>
        <v>0</v>
      </c>
      <c r="Q20" s="4">
        <v>30000</v>
      </c>
      <c r="R20" s="3"/>
      <c r="S20" s="4">
        <f t="shared" si="1"/>
        <v>0</v>
      </c>
    </row>
    <row r="21" spans="1:19" x14ac:dyDescent="0.25">
      <c r="A21" t="s">
        <v>123</v>
      </c>
      <c r="B21" t="s">
        <v>124</v>
      </c>
      <c r="C21" s="1">
        <v>50</v>
      </c>
      <c r="D21" s="4">
        <v>6.18</v>
      </c>
      <c r="E21" s="6">
        <f t="shared" si="0"/>
        <v>309</v>
      </c>
      <c r="H21" t="s">
        <v>124</v>
      </c>
      <c r="O21" s="10" t="s">
        <v>22</v>
      </c>
      <c r="P21" s="1">
        <f>SUMIF($B$2:$B$46,"*monitor*",$C$2:$C$46)</f>
        <v>0</v>
      </c>
      <c r="Q21" s="4">
        <v>1500</v>
      </c>
      <c r="R21" s="3"/>
      <c r="S21" s="4">
        <f t="shared" si="1"/>
        <v>0</v>
      </c>
    </row>
    <row r="22" spans="1:19" x14ac:dyDescent="0.25">
      <c r="A22" t="s">
        <v>125</v>
      </c>
      <c r="B22" t="s">
        <v>126</v>
      </c>
      <c r="C22" s="1">
        <v>50</v>
      </c>
      <c r="D22" s="4">
        <v>30.28</v>
      </c>
      <c r="E22" s="6">
        <f t="shared" si="0"/>
        <v>1514</v>
      </c>
      <c r="H22" t="s">
        <v>126</v>
      </c>
      <c r="O22" s="10" t="s">
        <v>23</v>
      </c>
      <c r="P22" s="1">
        <f>SUMIF($B$2:$B$46,"*oxygen*",$C$2:$C$46)</f>
        <v>0</v>
      </c>
      <c r="Q22" s="4">
        <v>1200</v>
      </c>
      <c r="R22" s="3"/>
      <c r="S22" s="4">
        <f t="shared" si="1"/>
        <v>0</v>
      </c>
    </row>
    <row r="23" spans="1:19" ht="30" x14ac:dyDescent="0.25">
      <c r="O23" s="10" t="s">
        <v>24</v>
      </c>
      <c r="P23" s="1">
        <f>SUMIF($B$2:$B$46,"*membrane*",$C$2:$C$46)</f>
        <v>0</v>
      </c>
      <c r="Q23" s="4">
        <v>75000</v>
      </c>
      <c r="R23" s="3"/>
      <c r="S23" s="4">
        <f t="shared" si="1"/>
        <v>0</v>
      </c>
    </row>
    <row r="24" spans="1:19" x14ac:dyDescent="0.25">
      <c r="A24" t="s">
        <v>85</v>
      </c>
      <c r="B24" t="s">
        <v>86</v>
      </c>
      <c r="C24" s="1">
        <v>200</v>
      </c>
      <c r="D24" s="4">
        <v>13</v>
      </c>
      <c r="E24" s="6">
        <f>D24*C24</f>
        <v>2600</v>
      </c>
      <c r="H24" t="s">
        <v>86</v>
      </c>
      <c r="O24" s="10" t="s">
        <v>25</v>
      </c>
      <c r="P24" s="1">
        <f>SUMIF($B$2:$B$46,"*oximeter*",$C$2:$C$46)</f>
        <v>0</v>
      </c>
      <c r="Q24" s="4">
        <v>18</v>
      </c>
      <c r="R24" s="3"/>
      <c r="S24" s="4">
        <f t="shared" si="1"/>
        <v>0</v>
      </c>
    </row>
    <row r="25" spans="1:19" x14ac:dyDescent="0.25">
      <c r="A25" t="s">
        <v>87</v>
      </c>
      <c r="B25" t="s">
        <v>88</v>
      </c>
      <c r="C25" s="1">
        <v>1000</v>
      </c>
      <c r="D25" s="4">
        <v>1.29</v>
      </c>
      <c r="E25" s="6">
        <f t="shared" ref="E25:E44" si="4">D25*C25</f>
        <v>1290</v>
      </c>
      <c r="O25" s="10" t="s">
        <v>26</v>
      </c>
      <c r="P25" s="1">
        <f>SUMIF($B$2:$B$46,"*oxygen*",$C$2:$C$46)</f>
        <v>0</v>
      </c>
      <c r="Q25" s="4">
        <v>15</v>
      </c>
      <c r="R25" s="3"/>
      <c r="S25" s="4">
        <f t="shared" si="1"/>
        <v>0</v>
      </c>
    </row>
    <row r="26" spans="1:19" x14ac:dyDescent="0.25">
      <c r="A26" t="s">
        <v>89</v>
      </c>
      <c r="B26" t="s">
        <v>90</v>
      </c>
      <c r="C26" s="1">
        <v>2000</v>
      </c>
      <c r="D26" s="4">
        <v>0.35</v>
      </c>
      <c r="E26" s="6">
        <f t="shared" si="4"/>
        <v>700</v>
      </c>
      <c r="O26" s="10" t="s">
        <v>27</v>
      </c>
      <c r="P26" s="1">
        <f>SUMIF($B$2:$B$46,"*HEPA*",$C$2:$C$46)</f>
        <v>0</v>
      </c>
      <c r="Q26" s="4">
        <v>4500</v>
      </c>
      <c r="R26" s="3"/>
      <c r="S26" s="4">
        <f t="shared" si="1"/>
        <v>0</v>
      </c>
    </row>
    <row r="27" spans="1:19" x14ac:dyDescent="0.25">
      <c r="A27" t="s">
        <v>91</v>
      </c>
      <c r="B27" t="s">
        <v>92</v>
      </c>
      <c r="C27" s="1">
        <v>10</v>
      </c>
      <c r="D27" s="4">
        <v>6</v>
      </c>
      <c r="E27" s="6">
        <f t="shared" si="4"/>
        <v>60</v>
      </c>
      <c r="O27" s="10" t="s">
        <v>28</v>
      </c>
      <c r="P27" s="1">
        <f>SUMIF($B$2:$B$46,"*tubes*",$C$2:$C$46)</f>
        <v>0</v>
      </c>
      <c r="Q27" s="4">
        <v>7</v>
      </c>
      <c r="R27" s="3"/>
      <c r="S27" s="4">
        <f t="shared" si="1"/>
        <v>0</v>
      </c>
    </row>
    <row r="28" spans="1:19" ht="30" x14ac:dyDescent="0.25">
      <c r="A28" t="s">
        <v>93</v>
      </c>
      <c r="B28" t="s">
        <v>94</v>
      </c>
      <c r="C28" s="1">
        <v>1500</v>
      </c>
      <c r="D28" s="4">
        <v>0.8</v>
      </c>
      <c r="E28" s="6">
        <f t="shared" si="4"/>
        <v>1200</v>
      </c>
      <c r="O28" s="10" t="s">
        <v>29</v>
      </c>
      <c r="P28" s="1">
        <f>SUMIF($B$2:$B$46,"*insulated*",$C$2:$C$46)</f>
        <v>0</v>
      </c>
      <c r="Q28" s="4">
        <v>100</v>
      </c>
      <c r="R28" s="3"/>
      <c r="S28" s="4">
        <f t="shared" si="1"/>
        <v>0</v>
      </c>
    </row>
    <row r="29" spans="1:19" x14ac:dyDescent="0.25">
      <c r="A29" t="s">
        <v>95</v>
      </c>
      <c r="B29" t="s">
        <v>96</v>
      </c>
      <c r="C29" s="1">
        <v>1500</v>
      </c>
      <c r="D29" s="4">
        <v>0.8</v>
      </c>
      <c r="E29" s="6">
        <f t="shared" si="4"/>
        <v>1200</v>
      </c>
      <c r="O29" s="10" t="s">
        <v>30</v>
      </c>
      <c r="P29" s="1">
        <f>SUMIF($B$2:$B$46,"*tent*",$C$2:$C$46)</f>
        <v>0</v>
      </c>
      <c r="Q29" s="4">
        <v>25000</v>
      </c>
      <c r="R29" s="3"/>
      <c r="S29" s="4">
        <f t="shared" si="1"/>
        <v>0</v>
      </c>
    </row>
    <row r="30" spans="1:19" x14ac:dyDescent="0.25">
      <c r="A30" t="s">
        <v>97</v>
      </c>
      <c r="B30" t="s">
        <v>98</v>
      </c>
      <c r="C30" s="1">
        <v>500</v>
      </c>
      <c r="D30" s="4">
        <v>0.8</v>
      </c>
      <c r="E30" s="6">
        <f t="shared" si="4"/>
        <v>400</v>
      </c>
      <c r="O30" s="10" t="s">
        <v>31</v>
      </c>
      <c r="P30" s="1">
        <f>SUMIF($B$2:$B$46,"*bin*",$C$2:$C$46)</f>
        <v>0</v>
      </c>
      <c r="Q30" s="4">
        <v>15</v>
      </c>
      <c r="R30" s="3"/>
      <c r="S30" s="4">
        <f t="shared" si="1"/>
        <v>0</v>
      </c>
    </row>
    <row r="31" spans="1:19" ht="30" x14ac:dyDescent="0.25">
      <c r="A31" t="s">
        <v>99</v>
      </c>
      <c r="B31" t="s">
        <v>100</v>
      </c>
      <c r="C31" s="1">
        <v>500</v>
      </c>
      <c r="D31" s="4">
        <v>0.8</v>
      </c>
      <c r="E31" s="6">
        <f t="shared" si="4"/>
        <v>400</v>
      </c>
      <c r="O31" s="10" t="s">
        <v>32</v>
      </c>
      <c r="P31" s="1">
        <f>SUMIF($B$2:$B$46,"*box*",$C$2:$C$46)</f>
        <v>1210</v>
      </c>
      <c r="Q31" s="4">
        <v>30</v>
      </c>
      <c r="R31" s="3">
        <v>40</v>
      </c>
      <c r="S31" s="4">
        <f t="shared" si="1"/>
        <v>1200</v>
      </c>
    </row>
    <row r="32" spans="1:19" x14ac:dyDescent="0.25">
      <c r="A32" t="s">
        <v>101</v>
      </c>
      <c r="B32" t="s">
        <v>102</v>
      </c>
      <c r="C32" s="1">
        <v>5000</v>
      </c>
      <c r="D32" s="4">
        <v>7.0000000000000007E-2</v>
      </c>
      <c r="E32" s="6">
        <f t="shared" si="4"/>
        <v>350.00000000000006</v>
      </c>
      <c r="O32" s="10" t="s">
        <v>33</v>
      </c>
      <c r="P32" s="1">
        <f t="shared" si="3"/>
        <v>0</v>
      </c>
      <c r="Q32" s="4">
        <v>1000</v>
      </c>
      <c r="R32" s="3"/>
      <c r="S32" s="4">
        <f t="shared" si="1"/>
        <v>0</v>
      </c>
    </row>
    <row r="33" spans="1:19" x14ac:dyDescent="0.25">
      <c r="A33" t="s">
        <v>103</v>
      </c>
      <c r="B33" t="s">
        <v>104</v>
      </c>
      <c r="C33" s="1">
        <v>5000</v>
      </c>
      <c r="D33" s="4">
        <v>7.0000000000000007E-2</v>
      </c>
      <c r="E33" s="6">
        <f t="shared" si="4"/>
        <v>350.00000000000006</v>
      </c>
      <c r="O33" s="10" t="s">
        <v>34</v>
      </c>
      <c r="P33" s="1">
        <f t="shared" si="3"/>
        <v>0</v>
      </c>
      <c r="Q33" s="4">
        <v>1400</v>
      </c>
      <c r="R33" s="3"/>
      <c r="S33" s="4">
        <f t="shared" si="1"/>
        <v>0</v>
      </c>
    </row>
    <row r="34" spans="1:19" ht="30" x14ac:dyDescent="0.25">
      <c r="A34" t="s">
        <v>105</v>
      </c>
      <c r="B34" t="s">
        <v>106</v>
      </c>
      <c r="C34" s="1">
        <v>2500</v>
      </c>
      <c r="D34" s="4">
        <v>7.0000000000000007E-2</v>
      </c>
      <c r="E34" s="6">
        <f t="shared" si="4"/>
        <v>175.00000000000003</v>
      </c>
      <c r="O34" s="10" t="s">
        <v>35</v>
      </c>
      <c r="P34" s="1">
        <f t="shared" si="3"/>
        <v>0</v>
      </c>
      <c r="Q34" s="4">
        <v>41000</v>
      </c>
      <c r="R34" s="3"/>
      <c r="S34" s="4">
        <f t="shared" si="1"/>
        <v>0</v>
      </c>
    </row>
    <row r="35" spans="1:19" x14ac:dyDescent="0.25">
      <c r="A35" t="s">
        <v>107</v>
      </c>
      <c r="B35" t="s">
        <v>108</v>
      </c>
      <c r="C35" s="1">
        <v>2500</v>
      </c>
      <c r="D35" s="4">
        <v>7.0000000000000007E-2</v>
      </c>
      <c r="E35" s="6">
        <f t="shared" si="4"/>
        <v>175.00000000000003</v>
      </c>
      <c r="S35" s="5">
        <f>SUM(S2:S34)</f>
        <v>63285700</v>
      </c>
    </row>
    <row r="36" spans="1:19" x14ac:dyDescent="0.25">
      <c r="A36" t="s">
        <v>109</v>
      </c>
      <c r="B36" t="s">
        <v>110</v>
      </c>
      <c r="C36" s="1">
        <v>1000</v>
      </c>
      <c r="D36" s="4">
        <v>0.66</v>
      </c>
      <c r="E36" s="6">
        <f t="shared" si="4"/>
        <v>660</v>
      </c>
    </row>
    <row r="37" spans="1:19" x14ac:dyDescent="0.25">
      <c r="A37" t="s">
        <v>111</v>
      </c>
      <c r="B37" t="s">
        <v>112</v>
      </c>
      <c r="C37" s="1">
        <v>1000</v>
      </c>
      <c r="D37" s="4">
        <v>0.66</v>
      </c>
      <c r="E37" s="6">
        <f t="shared" si="4"/>
        <v>660</v>
      </c>
    </row>
    <row r="38" spans="1:19" x14ac:dyDescent="0.25">
      <c r="A38" t="s">
        <v>113</v>
      </c>
      <c r="B38" t="s">
        <v>114</v>
      </c>
      <c r="C38" s="1">
        <v>1000</v>
      </c>
      <c r="D38" s="4">
        <v>0.66</v>
      </c>
      <c r="E38" s="6">
        <f t="shared" si="4"/>
        <v>660</v>
      </c>
    </row>
    <row r="39" spans="1:19" x14ac:dyDescent="0.25">
      <c r="A39" t="s">
        <v>115</v>
      </c>
      <c r="B39" t="s">
        <v>116</v>
      </c>
      <c r="C39" s="1">
        <v>1000</v>
      </c>
      <c r="D39" s="4">
        <v>0.66</v>
      </c>
      <c r="E39" s="6">
        <f t="shared" si="4"/>
        <v>660</v>
      </c>
    </row>
    <row r="40" spans="1:19" x14ac:dyDescent="0.25">
      <c r="A40" t="s">
        <v>117</v>
      </c>
      <c r="B40" t="s">
        <v>118</v>
      </c>
      <c r="C40" s="1">
        <v>200</v>
      </c>
      <c r="D40" s="4">
        <v>0.43</v>
      </c>
      <c r="E40" s="6">
        <f t="shared" si="4"/>
        <v>86</v>
      </c>
    </row>
    <row r="41" spans="1:19" x14ac:dyDescent="0.25">
      <c r="A41" t="s">
        <v>119</v>
      </c>
      <c r="B41" t="s">
        <v>120</v>
      </c>
      <c r="C41" s="1">
        <v>10</v>
      </c>
      <c r="D41" s="4">
        <v>25</v>
      </c>
      <c r="E41" s="6">
        <f t="shared" si="4"/>
        <v>250</v>
      </c>
    </row>
    <row r="42" spans="1:19" x14ac:dyDescent="0.25">
      <c r="A42" t="s">
        <v>121</v>
      </c>
      <c r="B42" t="s">
        <v>122</v>
      </c>
      <c r="C42" s="1">
        <v>100</v>
      </c>
      <c r="D42" s="4">
        <v>0.82</v>
      </c>
      <c r="E42" s="6">
        <f t="shared" si="4"/>
        <v>82</v>
      </c>
    </row>
    <row r="43" spans="1:19" x14ac:dyDescent="0.25">
      <c r="A43" t="s">
        <v>123</v>
      </c>
      <c r="B43" t="s">
        <v>124</v>
      </c>
      <c r="C43" s="1">
        <v>5</v>
      </c>
      <c r="D43" s="4">
        <v>6.18</v>
      </c>
      <c r="E43" s="6">
        <f t="shared" si="4"/>
        <v>30.9</v>
      </c>
    </row>
    <row r="44" spans="1:19" x14ac:dyDescent="0.25">
      <c r="A44" t="s">
        <v>125</v>
      </c>
      <c r="B44" t="s">
        <v>126</v>
      </c>
      <c r="C44" s="1">
        <v>5</v>
      </c>
      <c r="D44" s="4">
        <v>30.28</v>
      </c>
      <c r="E44" s="6">
        <f t="shared" si="4"/>
        <v>151.4</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topLeftCell="A7" workbookViewId="0">
      <selection activeCell="D25" sqref="D25"/>
    </sheetView>
  </sheetViews>
  <sheetFormatPr defaultRowHeight="15" x14ac:dyDescent="0.25"/>
  <cols>
    <col min="1" max="1" width="55.28515625" bestFit="1" customWidth="1"/>
    <col min="2" max="2" width="13.85546875" bestFit="1" customWidth="1"/>
    <col min="4" max="4" width="14.5703125" style="4" bestFit="1" customWidth="1"/>
  </cols>
  <sheetData>
    <row r="1" spans="1:4" x14ac:dyDescent="0.25">
      <c r="A1" t="s">
        <v>79</v>
      </c>
      <c r="B1" t="s">
        <v>295</v>
      </c>
      <c r="C1" t="s">
        <v>296</v>
      </c>
      <c r="D1" s="4" t="s">
        <v>3</v>
      </c>
    </row>
    <row r="2" spans="1:4" x14ac:dyDescent="0.25">
      <c r="A2" t="s">
        <v>86</v>
      </c>
      <c r="B2" s="2">
        <f>PPE!C2+PPE!C24</f>
        <v>2200</v>
      </c>
      <c r="C2" s="4">
        <v>13</v>
      </c>
      <c r="D2" s="4">
        <f>C2*B2</f>
        <v>28600</v>
      </c>
    </row>
    <row r="3" spans="1:4" x14ac:dyDescent="0.25">
      <c r="A3" t="s">
        <v>88</v>
      </c>
      <c r="B3" s="2">
        <f>PPE!C3+PPE!C25</f>
        <v>11000</v>
      </c>
      <c r="C3" s="4">
        <v>1.29</v>
      </c>
      <c r="D3" s="4">
        <f t="shared" ref="D3:D22" si="0">C3*B3</f>
        <v>14190</v>
      </c>
    </row>
    <row r="4" spans="1:4" x14ac:dyDescent="0.25">
      <c r="A4" t="s">
        <v>90</v>
      </c>
      <c r="B4" s="2">
        <f>PPE!C4+PPE!C26</f>
        <v>22000</v>
      </c>
      <c r="C4" s="4">
        <v>0.35</v>
      </c>
      <c r="D4" s="4">
        <f t="shared" si="0"/>
        <v>7699.9999999999991</v>
      </c>
    </row>
    <row r="5" spans="1:4" x14ac:dyDescent="0.25">
      <c r="A5" t="s">
        <v>92</v>
      </c>
      <c r="B5" s="2">
        <f>PPE!C5+PPE!C27</f>
        <v>110</v>
      </c>
      <c r="C5" s="4">
        <v>6</v>
      </c>
      <c r="D5" s="4">
        <f t="shared" si="0"/>
        <v>660</v>
      </c>
    </row>
    <row r="6" spans="1:4" x14ac:dyDescent="0.25">
      <c r="A6" t="s">
        <v>94</v>
      </c>
      <c r="B6" s="2">
        <f>PPE!C6+PPE!C28</f>
        <v>16500</v>
      </c>
      <c r="C6" s="4">
        <v>0.8</v>
      </c>
      <c r="D6" s="4">
        <f t="shared" si="0"/>
        <v>13200</v>
      </c>
    </row>
    <row r="7" spans="1:4" x14ac:dyDescent="0.25">
      <c r="A7" t="s">
        <v>96</v>
      </c>
      <c r="B7" s="2">
        <f>PPE!C7+PPE!C29</f>
        <v>16500</v>
      </c>
      <c r="C7" s="4">
        <v>0.8</v>
      </c>
      <c r="D7" s="4">
        <f t="shared" si="0"/>
        <v>13200</v>
      </c>
    </row>
    <row r="8" spans="1:4" x14ac:dyDescent="0.25">
      <c r="A8" t="s">
        <v>98</v>
      </c>
      <c r="B8" s="2">
        <f>PPE!C8+PPE!C30</f>
        <v>5500</v>
      </c>
      <c r="C8" s="4">
        <v>0.8</v>
      </c>
      <c r="D8" s="4">
        <f t="shared" si="0"/>
        <v>4400</v>
      </c>
    </row>
    <row r="9" spans="1:4" x14ac:dyDescent="0.25">
      <c r="A9" t="s">
        <v>100</v>
      </c>
      <c r="B9" s="2">
        <f>PPE!C9+PPE!C31</f>
        <v>5500</v>
      </c>
      <c r="C9" s="4">
        <v>0.8</v>
      </c>
      <c r="D9" s="4">
        <f t="shared" si="0"/>
        <v>4400</v>
      </c>
    </row>
    <row r="10" spans="1:4" x14ac:dyDescent="0.25">
      <c r="A10" t="s">
        <v>102</v>
      </c>
      <c r="B10" s="2">
        <f>PPE!C10+PPE!C32</f>
        <v>55000</v>
      </c>
      <c r="C10" s="4">
        <v>7.0000000000000007E-2</v>
      </c>
      <c r="D10" s="4">
        <f t="shared" si="0"/>
        <v>3850.0000000000005</v>
      </c>
    </row>
    <row r="11" spans="1:4" x14ac:dyDescent="0.25">
      <c r="A11" t="s">
        <v>104</v>
      </c>
      <c r="B11" s="2">
        <f>PPE!C11+PPE!C33</f>
        <v>55000</v>
      </c>
      <c r="C11" s="4">
        <v>7.0000000000000007E-2</v>
      </c>
      <c r="D11" s="4">
        <f t="shared" si="0"/>
        <v>3850.0000000000005</v>
      </c>
    </row>
    <row r="12" spans="1:4" x14ac:dyDescent="0.25">
      <c r="A12" t="s">
        <v>106</v>
      </c>
      <c r="B12" s="2">
        <f>PPE!C12+PPE!C34</f>
        <v>27500</v>
      </c>
      <c r="C12" s="4">
        <v>7.0000000000000007E-2</v>
      </c>
      <c r="D12" s="4">
        <f t="shared" si="0"/>
        <v>1925.0000000000002</v>
      </c>
    </row>
    <row r="13" spans="1:4" x14ac:dyDescent="0.25">
      <c r="A13" t="s">
        <v>108</v>
      </c>
      <c r="B13" s="2">
        <f>PPE!C13+PPE!C35</f>
        <v>27500</v>
      </c>
      <c r="C13" s="4">
        <v>7.0000000000000007E-2</v>
      </c>
      <c r="D13" s="4">
        <f t="shared" si="0"/>
        <v>1925.0000000000002</v>
      </c>
    </row>
    <row r="14" spans="1:4" x14ac:dyDescent="0.25">
      <c r="A14" t="s">
        <v>110</v>
      </c>
      <c r="B14" s="2">
        <f>PPE!C14+PPE!C36</f>
        <v>11000</v>
      </c>
      <c r="C14" s="4">
        <v>0.66</v>
      </c>
      <c r="D14" s="4">
        <f t="shared" si="0"/>
        <v>7260</v>
      </c>
    </row>
    <row r="15" spans="1:4" x14ac:dyDescent="0.25">
      <c r="A15" t="s">
        <v>112</v>
      </c>
      <c r="B15" s="2">
        <f>PPE!C15+PPE!C37</f>
        <v>11000</v>
      </c>
      <c r="C15" s="4">
        <v>0.66</v>
      </c>
      <c r="D15" s="4">
        <f t="shared" si="0"/>
        <v>7260</v>
      </c>
    </row>
    <row r="16" spans="1:4" x14ac:dyDescent="0.25">
      <c r="A16" t="s">
        <v>114</v>
      </c>
      <c r="B16" s="2">
        <f>PPE!C16+PPE!C38</f>
        <v>11000</v>
      </c>
      <c r="C16" s="4">
        <v>0.66</v>
      </c>
      <c r="D16" s="4">
        <f t="shared" si="0"/>
        <v>7260</v>
      </c>
    </row>
    <row r="17" spans="1:4" x14ac:dyDescent="0.25">
      <c r="A17" t="s">
        <v>116</v>
      </c>
      <c r="B17" s="2">
        <f>PPE!C17+PPE!C39</f>
        <v>11000</v>
      </c>
      <c r="C17" s="4">
        <v>0.66</v>
      </c>
      <c r="D17" s="4">
        <f t="shared" si="0"/>
        <v>7260</v>
      </c>
    </row>
    <row r="18" spans="1:4" x14ac:dyDescent="0.25">
      <c r="A18" t="s">
        <v>118</v>
      </c>
      <c r="B18" s="2">
        <f>PPE!C18+PPE!C40</f>
        <v>2200</v>
      </c>
      <c r="C18" s="4">
        <v>0.43</v>
      </c>
      <c r="D18" s="4">
        <f t="shared" si="0"/>
        <v>946</v>
      </c>
    </row>
    <row r="19" spans="1:4" x14ac:dyDescent="0.25">
      <c r="A19" t="s">
        <v>120</v>
      </c>
      <c r="B19" s="2">
        <f>PPE!C19+PPE!C41</f>
        <v>110</v>
      </c>
      <c r="C19" s="4">
        <v>25</v>
      </c>
      <c r="D19" s="4">
        <f t="shared" si="0"/>
        <v>2750</v>
      </c>
    </row>
    <row r="20" spans="1:4" x14ac:dyDescent="0.25">
      <c r="A20" t="s">
        <v>122</v>
      </c>
      <c r="B20" s="2">
        <f>PPE!C20+PPE!C42</f>
        <v>1100</v>
      </c>
      <c r="C20" s="4">
        <v>0.82</v>
      </c>
      <c r="D20" s="4">
        <f t="shared" si="0"/>
        <v>902</v>
      </c>
    </row>
    <row r="21" spans="1:4" x14ac:dyDescent="0.25">
      <c r="A21" t="s">
        <v>124</v>
      </c>
      <c r="B21" s="2">
        <f>PPE!C21+PPE!C43</f>
        <v>55</v>
      </c>
      <c r="C21" s="4">
        <v>6.18</v>
      </c>
      <c r="D21" s="4">
        <f t="shared" si="0"/>
        <v>339.9</v>
      </c>
    </row>
    <row r="22" spans="1:4" x14ac:dyDescent="0.25">
      <c r="A22" t="s">
        <v>126</v>
      </c>
      <c r="B22" s="2">
        <f>PPE!C22+PPE!C44</f>
        <v>55</v>
      </c>
      <c r="C22" s="4">
        <v>30.28</v>
      </c>
      <c r="D22" s="4">
        <f t="shared" si="0"/>
        <v>1665.4</v>
      </c>
    </row>
    <row r="23" spans="1:4" x14ac:dyDescent="0.25">
      <c r="D23" s="4">
        <f>SUM(D2:D22)</f>
        <v>133543.29999999999</v>
      </c>
    </row>
    <row r="24" spans="1:4" x14ac:dyDescent="0.25">
      <c r="D24" s="4">
        <f>PPE!S35</f>
        <v>63285700</v>
      </c>
    </row>
    <row r="26" spans="1:4" x14ac:dyDescent="0.25">
      <c r="D26" s="4">
        <f>SUM(D23:D25)</f>
        <v>63419243.299999997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2"/>
  <sheetViews>
    <sheetView zoomScale="80" zoomScaleNormal="80" workbookViewId="0">
      <selection activeCell="P7" sqref="P7:P35"/>
    </sheetView>
  </sheetViews>
  <sheetFormatPr defaultRowHeight="15" x14ac:dyDescent="0.25"/>
  <cols>
    <col min="1" max="1" width="68.140625" style="12" bestFit="1" customWidth="1"/>
    <col min="2" max="2" width="5.140625" style="16" bestFit="1" customWidth="1"/>
    <col min="3" max="3" width="12.140625" style="14" bestFit="1" customWidth="1"/>
    <col min="4" max="4" width="15" bestFit="1" customWidth="1"/>
    <col min="5" max="5" width="8.5703125" bestFit="1" customWidth="1"/>
    <col min="8" max="8" width="68.5703125" hidden="1" customWidth="1"/>
    <col min="9" max="9" width="8.28515625" hidden="1" customWidth="1"/>
    <col min="10" max="10" width="5.140625" hidden="1" customWidth="1"/>
    <col min="11" max="11" width="0" hidden="1" customWidth="1"/>
    <col min="12" max="12" width="27" customWidth="1"/>
    <col min="13" max="13" width="15.140625" customWidth="1"/>
    <col min="16" max="16" width="15" style="4" bestFit="1" customWidth="1"/>
  </cols>
  <sheetData>
    <row r="1" spans="1:16" x14ac:dyDescent="0.25">
      <c r="A1" s="11" t="s">
        <v>174</v>
      </c>
      <c r="B1" s="15"/>
      <c r="C1" s="13" t="s">
        <v>81</v>
      </c>
    </row>
    <row r="2" spans="1:16" ht="45" x14ac:dyDescent="0.25">
      <c r="A2" s="11" t="s">
        <v>175</v>
      </c>
      <c r="B2" s="15">
        <v>50</v>
      </c>
      <c r="C2" s="13">
        <v>20000</v>
      </c>
      <c r="D2" s="5">
        <f>C2*B2</f>
        <v>1000000</v>
      </c>
      <c r="H2" s="11" t="s">
        <v>175</v>
      </c>
      <c r="I2">
        <f>COUNTIF($A$2:$A$161,H2)</f>
        <v>1</v>
      </c>
      <c r="J2">
        <f>SUMIF($A$2:$A$61,H2,$B$2:$B$61)</f>
        <v>50</v>
      </c>
      <c r="L2" t="s">
        <v>4</v>
      </c>
      <c r="M2">
        <f>SUMIF($A$2:$A$161,"*Glove*",$B$2:$D$161)</f>
        <v>0</v>
      </c>
      <c r="N2" s="3"/>
      <c r="O2" s="4"/>
    </row>
    <row r="3" spans="1:16" ht="30" x14ac:dyDescent="0.25">
      <c r="A3" s="11" t="s">
        <v>176</v>
      </c>
      <c r="B3" s="15">
        <v>10</v>
      </c>
      <c r="C3" s="13">
        <v>6000</v>
      </c>
      <c r="D3" s="5">
        <f t="shared" ref="D3:D66" si="0">C3*B3</f>
        <v>60000</v>
      </c>
      <c r="H3" s="11" t="s">
        <v>176</v>
      </c>
      <c r="I3">
        <f>COUNTIF($A$2:$A$161,H3)</f>
        <v>1</v>
      </c>
      <c r="J3">
        <f t="shared" ref="J3:J11" si="1">SUMIF($A$2:$A$61,H3,$B$2:$B$61)</f>
        <v>10</v>
      </c>
      <c r="L3" t="s">
        <v>5</v>
      </c>
      <c r="M3">
        <f>SUMIF($A$2:$A$161,"*Gown*",$B$2:$B$161)</f>
        <v>0</v>
      </c>
      <c r="N3" s="3"/>
      <c r="O3" s="4"/>
    </row>
    <row r="4" spans="1:16" ht="30" x14ac:dyDescent="0.25">
      <c r="A4" s="11" t="s">
        <v>177</v>
      </c>
      <c r="B4" s="15">
        <v>30</v>
      </c>
      <c r="C4" s="13">
        <v>1500</v>
      </c>
      <c r="D4" s="5">
        <f t="shared" si="0"/>
        <v>45000</v>
      </c>
      <c r="H4" s="11" t="s">
        <v>177</v>
      </c>
      <c r="I4">
        <f t="shared" ref="I4:I66" si="2">COUNTIF($A$2:$A$161,H4)</f>
        <v>2</v>
      </c>
      <c r="J4">
        <f>SUMIF($A$2:$A$61,H4,$B$2:$B$61)</f>
        <v>45</v>
      </c>
      <c r="L4" t="s">
        <v>6</v>
      </c>
      <c r="M4">
        <f>SUMIF($A$2:$A$161,"*Goggle*",$B$2:$D$161)</f>
        <v>0</v>
      </c>
      <c r="N4" s="3"/>
      <c r="O4" s="4"/>
    </row>
    <row r="5" spans="1:16" ht="30" x14ac:dyDescent="0.25">
      <c r="A5" s="11" t="s">
        <v>178</v>
      </c>
      <c r="B5" s="15">
        <v>20</v>
      </c>
      <c r="C5" s="13">
        <v>2000</v>
      </c>
      <c r="D5" s="5">
        <f t="shared" si="0"/>
        <v>40000</v>
      </c>
      <c r="H5" s="11" t="s">
        <v>178</v>
      </c>
      <c r="I5">
        <f t="shared" si="2"/>
        <v>1</v>
      </c>
      <c r="J5">
        <f t="shared" si="1"/>
        <v>20</v>
      </c>
      <c r="L5" t="s">
        <v>7</v>
      </c>
      <c r="M5">
        <f>SUMIF($A$2:$A$161,"*surgical mask*",$B$2:$B$161)</f>
        <v>0</v>
      </c>
      <c r="N5" s="3"/>
      <c r="O5" s="4"/>
    </row>
    <row r="6" spans="1:16" ht="30" x14ac:dyDescent="0.25">
      <c r="A6" s="11" t="s">
        <v>179</v>
      </c>
      <c r="B6" s="15">
        <v>6</v>
      </c>
      <c r="C6" s="13">
        <v>3500</v>
      </c>
      <c r="D6" s="5">
        <f t="shared" si="0"/>
        <v>21000</v>
      </c>
      <c r="H6" s="11" t="s">
        <v>179</v>
      </c>
      <c r="I6">
        <f t="shared" si="2"/>
        <v>1</v>
      </c>
      <c r="J6">
        <f t="shared" si="1"/>
        <v>6</v>
      </c>
      <c r="L6" t="s">
        <v>8</v>
      </c>
      <c r="M6">
        <f>SUMIF($A$2:$A$161,"*N95*",$B$2:$B$161)</f>
        <v>0</v>
      </c>
      <c r="N6" s="3"/>
      <c r="O6" s="4"/>
    </row>
    <row r="7" spans="1:16" x14ac:dyDescent="0.25">
      <c r="A7" s="11" t="s">
        <v>180</v>
      </c>
      <c r="B7" s="15">
        <v>3</v>
      </c>
      <c r="C7" s="13">
        <v>1200</v>
      </c>
      <c r="D7" s="5">
        <f t="shared" si="0"/>
        <v>3600</v>
      </c>
      <c r="H7" s="11" t="s">
        <v>180</v>
      </c>
      <c r="I7">
        <f t="shared" si="2"/>
        <v>1</v>
      </c>
      <c r="J7">
        <f t="shared" si="1"/>
        <v>3</v>
      </c>
      <c r="L7" t="s">
        <v>9</v>
      </c>
      <c r="M7">
        <f ca="1">SUMIF($A$2:$A$161,"*test kit*",$D$2:$D$68)</f>
        <v>0</v>
      </c>
      <c r="N7" s="3"/>
      <c r="O7" s="4"/>
    </row>
    <row r="8" spans="1:16" x14ac:dyDescent="0.25">
      <c r="A8" s="11" t="s">
        <v>181</v>
      </c>
      <c r="B8" s="15">
        <v>3</v>
      </c>
      <c r="C8" s="13">
        <v>3000</v>
      </c>
      <c r="D8" s="5">
        <f t="shared" si="0"/>
        <v>9000</v>
      </c>
      <c r="H8" s="11" t="s">
        <v>181</v>
      </c>
      <c r="I8">
        <f t="shared" si="2"/>
        <v>1</v>
      </c>
      <c r="J8">
        <f t="shared" si="1"/>
        <v>3</v>
      </c>
      <c r="L8" t="s">
        <v>10</v>
      </c>
      <c r="N8" s="3"/>
      <c r="O8" s="4"/>
    </row>
    <row r="9" spans="1:16" ht="45" x14ac:dyDescent="0.25">
      <c r="A9" s="11" t="s">
        <v>297</v>
      </c>
      <c r="B9" s="15">
        <v>50</v>
      </c>
      <c r="C9" s="13">
        <v>1500</v>
      </c>
      <c r="D9" s="5">
        <f t="shared" si="0"/>
        <v>75000</v>
      </c>
      <c r="H9" s="11" t="s">
        <v>297</v>
      </c>
      <c r="I9">
        <v>50</v>
      </c>
      <c r="J9">
        <f>SUMIF($A$2:$A$61,H9,$B$2:$B$61)</f>
        <v>50</v>
      </c>
      <c r="L9" t="s">
        <v>11</v>
      </c>
      <c r="N9" s="3"/>
      <c r="O9" s="4"/>
    </row>
    <row r="10" spans="1:16" ht="45" x14ac:dyDescent="0.25">
      <c r="A10" s="11" t="s">
        <v>183</v>
      </c>
      <c r="B10" s="15">
        <v>6</v>
      </c>
      <c r="C10" s="13">
        <v>1400</v>
      </c>
      <c r="D10" s="5">
        <f t="shared" si="0"/>
        <v>8400</v>
      </c>
      <c r="H10" s="11" t="s">
        <v>183</v>
      </c>
      <c r="I10">
        <f t="shared" si="2"/>
        <v>1</v>
      </c>
      <c r="J10">
        <f t="shared" si="1"/>
        <v>6</v>
      </c>
      <c r="L10" t="s">
        <v>12</v>
      </c>
      <c r="N10" s="3"/>
      <c r="O10" s="4"/>
    </row>
    <row r="11" spans="1:16" x14ac:dyDescent="0.25">
      <c r="A11" s="11" t="s">
        <v>184</v>
      </c>
      <c r="B11" s="15">
        <v>15</v>
      </c>
      <c r="C11" s="13">
        <v>140</v>
      </c>
      <c r="D11" s="5">
        <f t="shared" si="0"/>
        <v>2100</v>
      </c>
      <c r="H11" s="11" t="s">
        <v>184</v>
      </c>
      <c r="I11">
        <f t="shared" si="2"/>
        <v>1</v>
      </c>
      <c r="J11">
        <f t="shared" si="1"/>
        <v>15</v>
      </c>
      <c r="L11" t="s">
        <v>13</v>
      </c>
      <c r="N11" s="3"/>
      <c r="O11" s="4"/>
    </row>
    <row r="12" spans="1:16" ht="30" x14ac:dyDescent="0.25">
      <c r="A12" s="11" t="s">
        <v>185</v>
      </c>
      <c r="B12" s="15">
        <v>3</v>
      </c>
      <c r="C12" s="13">
        <v>3500</v>
      </c>
      <c r="D12" s="5">
        <f t="shared" si="0"/>
        <v>10500</v>
      </c>
      <c r="H12" s="11" t="s">
        <v>185</v>
      </c>
      <c r="I12">
        <f t="shared" si="2"/>
        <v>3</v>
      </c>
      <c r="J12">
        <f>SUMIF($A$2:$A$161,H12,$B$2:$B$161)</f>
        <v>6</v>
      </c>
      <c r="L12" t="s">
        <v>14</v>
      </c>
      <c r="N12" s="3"/>
      <c r="O12" s="4"/>
    </row>
    <row r="13" spans="1:16" x14ac:dyDescent="0.25">
      <c r="A13" s="11" t="s">
        <v>186</v>
      </c>
      <c r="B13" s="15">
        <v>3</v>
      </c>
      <c r="C13" s="13">
        <v>500</v>
      </c>
      <c r="D13" s="5">
        <f t="shared" si="0"/>
        <v>1500</v>
      </c>
      <c r="H13" s="11" t="s">
        <v>186</v>
      </c>
      <c r="I13">
        <f t="shared" si="2"/>
        <v>1</v>
      </c>
      <c r="J13">
        <f t="shared" ref="J13:J76" si="3">SUMIF($A$2:$A$161,H13,$B$2:$B$161)</f>
        <v>3</v>
      </c>
      <c r="L13" t="s">
        <v>15</v>
      </c>
      <c r="N13" s="3"/>
      <c r="O13" s="4"/>
    </row>
    <row r="14" spans="1:16" ht="30" x14ac:dyDescent="0.25">
      <c r="A14" s="11" t="s">
        <v>187</v>
      </c>
      <c r="B14" s="15">
        <v>10</v>
      </c>
      <c r="C14" s="13">
        <v>350</v>
      </c>
      <c r="D14" s="5">
        <f t="shared" si="0"/>
        <v>3500</v>
      </c>
      <c r="H14" s="11" t="s">
        <v>187</v>
      </c>
      <c r="I14">
        <f t="shared" si="2"/>
        <v>2</v>
      </c>
      <c r="J14">
        <f t="shared" si="3"/>
        <v>20</v>
      </c>
      <c r="L14" t="s">
        <v>16</v>
      </c>
      <c r="N14" s="3"/>
      <c r="O14" s="4"/>
    </row>
    <row r="15" spans="1:16" x14ac:dyDescent="0.25">
      <c r="A15" s="11" t="s">
        <v>188</v>
      </c>
      <c r="B15" s="15">
        <v>10</v>
      </c>
      <c r="C15" s="13">
        <v>2200</v>
      </c>
      <c r="D15" s="5">
        <f t="shared" si="0"/>
        <v>22000</v>
      </c>
      <c r="H15" s="11" t="s">
        <v>188</v>
      </c>
      <c r="I15">
        <f t="shared" si="2"/>
        <v>3</v>
      </c>
      <c r="J15">
        <f t="shared" si="3"/>
        <v>16</v>
      </c>
      <c r="L15" t="s">
        <v>17</v>
      </c>
      <c r="M15">
        <f>SUMIF($A$2:$A$161,"*ventilator*",$B$2:$D$161)</f>
        <v>63</v>
      </c>
      <c r="N15" s="3">
        <v>350</v>
      </c>
      <c r="O15" s="4">
        <v>14000</v>
      </c>
      <c r="P15" s="4">
        <f t="shared" ref="P15:P34" si="4">O15*N15</f>
        <v>4900000</v>
      </c>
    </row>
    <row r="16" spans="1:16" ht="45" x14ac:dyDescent="0.25">
      <c r="A16" s="11" t="s">
        <v>189</v>
      </c>
      <c r="B16" s="15">
        <v>120</v>
      </c>
      <c r="C16" s="13">
        <v>450</v>
      </c>
      <c r="D16" s="5">
        <f t="shared" si="0"/>
        <v>54000</v>
      </c>
      <c r="E16" t="s">
        <v>288</v>
      </c>
      <c r="H16" s="11" t="s">
        <v>189</v>
      </c>
      <c r="I16">
        <f t="shared" si="2"/>
        <v>3</v>
      </c>
      <c r="J16">
        <f t="shared" si="3"/>
        <v>144</v>
      </c>
      <c r="L16" t="s">
        <v>36</v>
      </c>
      <c r="M16">
        <f ca="1">SUMIF($A$2:$A$161,"*defibrilator*",$D$2:$D$68)</f>
        <v>0</v>
      </c>
      <c r="N16" s="3">
        <v>350</v>
      </c>
      <c r="O16" s="4">
        <v>4000</v>
      </c>
      <c r="P16" s="4">
        <f t="shared" si="4"/>
        <v>1400000</v>
      </c>
    </row>
    <row r="17" spans="1:16" x14ac:dyDescent="0.25">
      <c r="A17" s="11"/>
      <c r="B17" s="15"/>
      <c r="C17" s="13">
        <v>1100</v>
      </c>
      <c r="D17" s="5">
        <f t="shared" si="0"/>
        <v>0</v>
      </c>
      <c r="E17" t="s">
        <v>289</v>
      </c>
      <c r="H17" s="11"/>
      <c r="I17">
        <f t="shared" si="2"/>
        <v>0</v>
      </c>
      <c r="J17">
        <f t="shared" si="3"/>
        <v>0</v>
      </c>
      <c r="L17" t="s">
        <v>18</v>
      </c>
      <c r="M17">
        <f>SUMIF($A$2:$A$161,"*ECG*",$B$2:$D$161)</f>
        <v>1326</v>
      </c>
      <c r="N17" s="3">
        <v>1150</v>
      </c>
      <c r="O17" s="4">
        <v>1400</v>
      </c>
      <c r="P17" s="4">
        <f t="shared" si="4"/>
        <v>1610000</v>
      </c>
    </row>
    <row r="18" spans="1:16" ht="30" x14ac:dyDescent="0.25">
      <c r="A18" s="11" t="s">
        <v>190</v>
      </c>
      <c r="B18" s="15">
        <v>20</v>
      </c>
      <c r="C18" s="13">
        <v>800</v>
      </c>
      <c r="D18" s="5">
        <f t="shared" si="0"/>
        <v>16000</v>
      </c>
      <c r="E18" t="s">
        <v>288</v>
      </c>
      <c r="H18" s="11" t="s">
        <v>190</v>
      </c>
      <c r="I18">
        <f t="shared" si="2"/>
        <v>2</v>
      </c>
      <c r="J18">
        <f t="shared" si="3"/>
        <v>21</v>
      </c>
      <c r="L18" t="s">
        <v>19</v>
      </c>
      <c r="M18">
        <f t="shared" ref="M18:M19" si="5">SUMIF($A$2:$A$68,"*Glove*",$D$2:$D$68)</f>
        <v>0</v>
      </c>
      <c r="N18" s="3"/>
      <c r="O18" s="4"/>
      <c r="P18" s="4">
        <f t="shared" si="4"/>
        <v>0</v>
      </c>
    </row>
    <row r="19" spans="1:16" x14ac:dyDescent="0.25">
      <c r="A19" s="11"/>
      <c r="B19" s="15"/>
      <c r="C19" s="13">
        <v>1300</v>
      </c>
      <c r="D19" s="5">
        <f t="shared" si="0"/>
        <v>0</v>
      </c>
      <c r="E19" t="s">
        <v>289</v>
      </c>
      <c r="H19" s="11" t="s">
        <v>191</v>
      </c>
      <c r="I19">
        <f t="shared" si="2"/>
        <v>3</v>
      </c>
      <c r="J19">
        <f t="shared" si="3"/>
        <v>67</v>
      </c>
      <c r="L19" t="s">
        <v>20</v>
      </c>
      <c r="M19">
        <f t="shared" si="5"/>
        <v>0</v>
      </c>
      <c r="N19" s="3"/>
      <c r="O19" s="4"/>
      <c r="P19" s="4">
        <f t="shared" si="4"/>
        <v>0</v>
      </c>
    </row>
    <row r="20" spans="1:16" ht="30" x14ac:dyDescent="0.25">
      <c r="A20" s="11" t="s">
        <v>191</v>
      </c>
      <c r="B20" s="15">
        <v>50</v>
      </c>
      <c r="C20" s="13">
        <v>50</v>
      </c>
      <c r="D20" s="5">
        <f t="shared" si="0"/>
        <v>2500</v>
      </c>
      <c r="H20" s="11" t="s">
        <v>192</v>
      </c>
      <c r="I20">
        <f t="shared" si="2"/>
        <v>2</v>
      </c>
      <c r="J20">
        <f t="shared" si="3"/>
        <v>7</v>
      </c>
      <c r="L20" t="s">
        <v>21</v>
      </c>
      <c r="M20">
        <f>SUMIF($A$2:$A$161,"*portable oxygen*",$B$2:$D$161)</f>
        <v>5</v>
      </c>
      <c r="N20" s="3"/>
      <c r="O20" s="4"/>
      <c r="P20" s="4">
        <f t="shared" si="4"/>
        <v>0</v>
      </c>
    </row>
    <row r="21" spans="1:16" ht="45" x14ac:dyDescent="0.25">
      <c r="A21" s="11" t="s">
        <v>192</v>
      </c>
      <c r="B21" s="15">
        <v>5</v>
      </c>
      <c r="C21" s="13">
        <v>1000</v>
      </c>
      <c r="D21" s="5">
        <f t="shared" si="0"/>
        <v>5000</v>
      </c>
      <c r="H21" s="11" t="s">
        <v>193</v>
      </c>
      <c r="I21">
        <f t="shared" si="2"/>
        <v>1</v>
      </c>
      <c r="J21">
        <f t="shared" si="3"/>
        <v>3</v>
      </c>
      <c r="L21" t="s">
        <v>22</v>
      </c>
      <c r="M21">
        <f ca="1">SUMIF($A$2:$A$161,"*monitor*",$D$2:$D$68)</f>
        <v>180500</v>
      </c>
      <c r="N21" s="3">
        <v>950</v>
      </c>
      <c r="O21" s="4">
        <v>1500</v>
      </c>
      <c r="P21" s="4">
        <f t="shared" si="4"/>
        <v>1425000</v>
      </c>
    </row>
    <row r="22" spans="1:16" ht="45" x14ac:dyDescent="0.25">
      <c r="A22" s="11" t="s">
        <v>193</v>
      </c>
      <c r="B22" s="15">
        <v>3</v>
      </c>
      <c r="C22" s="13">
        <v>1300</v>
      </c>
      <c r="D22" s="5">
        <f t="shared" si="0"/>
        <v>3900</v>
      </c>
      <c r="H22" s="11" t="s">
        <v>194</v>
      </c>
      <c r="I22">
        <f t="shared" si="2"/>
        <v>3</v>
      </c>
      <c r="J22">
        <f t="shared" si="3"/>
        <v>17</v>
      </c>
      <c r="L22" t="s">
        <v>23</v>
      </c>
      <c r="M22">
        <f>SUMIF($A$2:$A$68,"*oxygen*",$B$2:$B$161)</f>
        <v>63</v>
      </c>
      <c r="N22" s="3">
        <v>950</v>
      </c>
      <c r="O22" s="4">
        <v>1200</v>
      </c>
      <c r="P22" s="4">
        <f t="shared" si="4"/>
        <v>1140000</v>
      </c>
    </row>
    <row r="23" spans="1:16" x14ac:dyDescent="0.25">
      <c r="A23" s="11" t="s">
        <v>194</v>
      </c>
      <c r="B23" s="15">
        <v>10</v>
      </c>
      <c r="C23" s="13">
        <v>700</v>
      </c>
      <c r="D23" s="5">
        <f t="shared" si="0"/>
        <v>7000</v>
      </c>
      <c r="H23" s="11" t="s">
        <v>195</v>
      </c>
      <c r="I23">
        <f t="shared" si="2"/>
        <v>2</v>
      </c>
      <c r="J23">
        <f t="shared" si="3"/>
        <v>3</v>
      </c>
      <c r="L23" t="s">
        <v>24</v>
      </c>
      <c r="M23">
        <f ca="1">SUMIF($A$2:$A$161,"*membrane*",$D$2:$D$68)</f>
        <v>0</v>
      </c>
      <c r="N23" s="3"/>
      <c r="O23" s="4"/>
      <c r="P23" s="4">
        <f t="shared" si="4"/>
        <v>0</v>
      </c>
    </row>
    <row r="24" spans="1:16" x14ac:dyDescent="0.25">
      <c r="A24" s="11" t="s">
        <v>195</v>
      </c>
      <c r="B24" s="15">
        <v>2</v>
      </c>
      <c r="C24" s="13">
        <v>800</v>
      </c>
      <c r="D24" s="5">
        <f t="shared" si="0"/>
        <v>1600</v>
      </c>
      <c r="H24" s="11" t="s">
        <v>196</v>
      </c>
      <c r="I24">
        <f t="shared" si="2"/>
        <v>3</v>
      </c>
      <c r="J24">
        <f t="shared" si="3"/>
        <v>3</v>
      </c>
      <c r="L24" t="s">
        <v>25</v>
      </c>
      <c r="M24">
        <f>SUMIF($A$2:$A$161,"*oximeter*",$B$2:$B$161)</f>
        <v>10</v>
      </c>
      <c r="N24" s="3">
        <v>1000</v>
      </c>
      <c r="O24" s="4">
        <v>18</v>
      </c>
      <c r="P24" s="4">
        <f t="shared" si="4"/>
        <v>18000</v>
      </c>
    </row>
    <row r="25" spans="1:16" x14ac:dyDescent="0.25">
      <c r="A25" s="11" t="s">
        <v>196</v>
      </c>
      <c r="B25" s="15">
        <v>1</v>
      </c>
      <c r="C25" s="13">
        <v>450</v>
      </c>
      <c r="D25" s="5">
        <f t="shared" si="0"/>
        <v>450</v>
      </c>
      <c r="H25" s="11" t="s">
        <v>197</v>
      </c>
      <c r="I25">
        <f t="shared" si="2"/>
        <v>2</v>
      </c>
      <c r="J25">
        <f t="shared" si="3"/>
        <v>2</v>
      </c>
      <c r="L25" t="s">
        <v>26</v>
      </c>
      <c r="M25">
        <f ca="1">SUMIF($A$2:$A$161,"*oxygen mask*",$D$2:$D$68)</f>
        <v>0</v>
      </c>
      <c r="N25" s="3"/>
      <c r="O25" s="4"/>
      <c r="P25" s="4">
        <f t="shared" si="4"/>
        <v>0</v>
      </c>
    </row>
    <row r="26" spans="1:16" x14ac:dyDescent="0.25">
      <c r="A26" s="11" t="s">
        <v>197</v>
      </c>
      <c r="B26" s="15">
        <v>1</v>
      </c>
      <c r="C26" s="13">
        <v>500</v>
      </c>
      <c r="D26" s="5">
        <f t="shared" si="0"/>
        <v>500</v>
      </c>
      <c r="H26" s="11" t="s">
        <v>198</v>
      </c>
      <c r="I26">
        <f t="shared" si="2"/>
        <v>2</v>
      </c>
      <c r="J26">
        <f t="shared" si="3"/>
        <v>7</v>
      </c>
      <c r="L26" t="s">
        <v>27</v>
      </c>
      <c r="M26">
        <f ca="1">SUMIF($A$2:$A$161,"*HEPA*",$D$2:$D$68)</f>
        <v>0</v>
      </c>
      <c r="N26" s="3"/>
      <c r="O26" s="4"/>
      <c r="P26" s="4">
        <f t="shared" si="4"/>
        <v>0</v>
      </c>
    </row>
    <row r="27" spans="1:16" x14ac:dyDescent="0.25">
      <c r="A27" s="11" t="s">
        <v>198</v>
      </c>
      <c r="B27" s="15">
        <v>2</v>
      </c>
      <c r="C27" s="13">
        <v>200</v>
      </c>
      <c r="D27" s="5">
        <f t="shared" si="0"/>
        <v>400</v>
      </c>
      <c r="H27" s="11" t="s">
        <v>199</v>
      </c>
      <c r="I27">
        <f t="shared" si="2"/>
        <v>2</v>
      </c>
      <c r="J27">
        <f t="shared" si="3"/>
        <v>110</v>
      </c>
      <c r="L27" t="s">
        <v>28</v>
      </c>
      <c r="M27">
        <f ca="1">SUMIF($A$2:$A$161,"*test tube*",$D$2:$D$68)</f>
        <v>0</v>
      </c>
      <c r="N27" s="3"/>
      <c r="O27" s="4"/>
      <c r="P27" s="4">
        <f t="shared" si="4"/>
        <v>0</v>
      </c>
    </row>
    <row r="28" spans="1:16" ht="30" x14ac:dyDescent="0.25">
      <c r="A28" s="11" t="s">
        <v>199</v>
      </c>
      <c r="B28" s="15">
        <v>70</v>
      </c>
      <c r="C28" s="13">
        <v>120</v>
      </c>
      <c r="D28" s="5">
        <f t="shared" si="0"/>
        <v>8400</v>
      </c>
      <c r="H28" s="11" t="s">
        <v>200</v>
      </c>
      <c r="I28">
        <f t="shared" si="2"/>
        <v>2</v>
      </c>
      <c r="J28">
        <f t="shared" si="3"/>
        <v>3</v>
      </c>
      <c r="L28" t="s">
        <v>29</v>
      </c>
      <c r="M28">
        <f ca="1">SUMIF($A$2:$A$161,"*insulated*",$D$2:$D$68)</f>
        <v>0</v>
      </c>
      <c r="N28" s="3"/>
      <c r="O28" s="4"/>
      <c r="P28" s="4">
        <f t="shared" si="4"/>
        <v>0</v>
      </c>
    </row>
    <row r="29" spans="1:16" ht="30" x14ac:dyDescent="0.25">
      <c r="A29" s="11" t="s">
        <v>200</v>
      </c>
      <c r="B29" s="15">
        <v>2</v>
      </c>
      <c r="C29" s="13">
        <v>3500</v>
      </c>
      <c r="D29" s="5">
        <f t="shared" si="0"/>
        <v>7000</v>
      </c>
      <c r="H29" s="11" t="s">
        <v>201</v>
      </c>
      <c r="I29">
        <f t="shared" si="2"/>
        <v>2</v>
      </c>
      <c r="J29">
        <f t="shared" si="3"/>
        <v>7</v>
      </c>
      <c r="L29" t="s">
        <v>30</v>
      </c>
      <c r="M29">
        <f ca="1">SUMIF($A$2:$A$161,"*tent*",$D$2:$D$68)</f>
        <v>0</v>
      </c>
      <c r="N29" s="3"/>
      <c r="O29" s="4"/>
      <c r="P29" s="4">
        <f t="shared" si="4"/>
        <v>0</v>
      </c>
    </row>
    <row r="30" spans="1:16" x14ac:dyDescent="0.25">
      <c r="A30" s="11" t="s">
        <v>201</v>
      </c>
      <c r="B30" s="15">
        <v>6</v>
      </c>
      <c r="C30" s="13">
        <v>100</v>
      </c>
      <c r="D30" s="5">
        <f t="shared" si="0"/>
        <v>600</v>
      </c>
      <c r="H30" s="11" t="s">
        <v>202</v>
      </c>
      <c r="I30">
        <f t="shared" si="2"/>
        <v>2</v>
      </c>
      <c r="J30">
        <f t="shared" si="3"/>
        <v>4</v>
      </c>
      <c r="L30" t="s">
        <v>31</v>
      </c>
      <c r="N30" s="3"/>
      <c r="O30" s="4"/>
    </row>
    <row r="31" spans="1:16" x14ac:dyDescent="0.25">
      <c r="A31" s="11" t="s">
        <v>202</v>
      </c>
      <c r="B31" s="15">
        <v>3</v>
      </c>
      <c r="C31" s="13">
        <v>100</v>
      </c>
      <c r="D31" s="5">
        <f t="shared" si="0"/>
        <v>300</v>
      </c>
      <c r="H31" s="11" t="s">
        <v>203</v>
      </c>
      <c r="I31">
        <f t="shared" si="2"/>
        <v>2</v>
      </c>
      <c r="J31">
        <f t="shared" si="3"/>
        <v>4</v>
      </c>
      <c r="L31" t="s">
        <v>32</v>
      </c>
      <c r="M31">
        <f ca="1">SUMIF($A$2:$A$161,"*triple box*",$D$2:$D$68)</f>
        <v>0</v>
      </c>
      <c r="N31" s="3"/>
      <c r="O31" s="4"/>
      <c r="P31" s="4">
        <f t="shared" si="4"/>
        <v>0</v>
      </c>
    </row>
    <row r="32" spans="1:16" x14ac:dyDescent="0.25">
      <c r="A32" s="11" t="s">
        <v>203</v>
      </c>
      <c r="B32" s="15">
        <v>3</v>
      </c>
      <c r="C32" s="13">
        <v>80</v>
      </c>
      <c r="D32" s="5">
        <f t="shared" si="0"/>
        <v>240</v>
      </c>
      <c r="H32" s="11" t="s">
        <v>204</v>
      </c>
      <c r="I32">
        <f t="shared" si="2"/>
        <v>3</v>
      </c>
      <c r="J32">
        <f t="shared" si="3"/>
        <v>57</v>
      </c>
      <c r="L32" t="s">
        <v>33</v>
      </c>
      <c r="N32" s="3"/>
      <c r="O32" s="4"/>
      <c r="P32" s="4">
        <f t="shared" si="4"/>
        <v>0</v>
      </c>
    </row>
    <row r="33" spans="1:16" x14ac:dyDescent="0.25">
      <c r="A33" s="11" t="s">
        <v>204</v>
      </c>
      <c r="B33" s="15">
        <v>50</v>
      </c>
      <c r="C33" s="13">
        <v>40</v>
      </c>
      <c r="D33" s="5">
        <f t="shared" si="0"/>
        <v>2000</v>
      </c>
      <c r="H33" s="11" t="s">
        <v>205</v>
      </c>
      <c r="I33">
        <f t="shared" si="2"/>
        <v>3</v>
      </c>
      <c r="J33">
        <f t="shared" si="3"/>
        <v>13</v>
      </c>
      <c r="L33" t="s">
        <v>34</v>
      </c>
      <c r="N33" s="3"/>
      <c r="O33" s="4"/>
      <c r="P33" s="4">
        <f t="shared" si="4"/>
        <v>0</v>
      </c>
    </row>
    <row r="34" spans="1:16" ht="30" x14ac:dyDescent="0.25">
      <c r="A34" s="11" t="s">
        <v>205</v>
      </c>
      <c r="B34" s="15">
        <v>10</v>
      </c>
      <c r="C34" s="13">
        <v>40</v>
      </c>
      <c r="D34" s="5">
        <f t="shared" si="0"/>
        <v>400</v>
      </c>
      <c r="H34" s="11" t="s">
        <v>206</v>
      </c>
      <c r="I34">
        <f t="shared" si="2"/>
        <v>1</v>
      </c>
      <c r="J34">
        <f t="shared" si="3"/>
        <v>5</v>
      </c>
      <c r="L34" t="s">
        <v>35</v>
      </c>
      <c r="N34" s="3"/>
      <c r="O34" s="4"/>
      <c r="P34" s="4">
        <f t="shared" si="4"/>
        <v>0</v>
      </c>
    </row>
    <row r="35" spans="1:16" ht="30" x14ac:dyDescent="0.25">
      <c r="A35" s="11" t="s">
        <v>206</v>
      </c>
      <c r="B35" s="15">
        <v>5</v>
      </c>
      <c r="C35" s="13">
        <v>500</v>
      </c>
      <c r="D35" s="5">
        <f t="shared" si="0"/>
        <v>2500</v>
      </c>
      <c r="H35" s="11" t="s">
        <v>207</v>
      </c>
      <c r="I35">
        <f t="shared" si="2"/>
        <v>2</v>
      </c>
      <c r="J35">
        <f t="shared" si="3"/>
        <v>10</v>
      </c>
      <c r="P35" s="4">
        <f>SUM(P7:P34)</f>
        <v>10493000</v>
      </c>
    </row>
    <row r="36" spans="1:16" x14ac:dyDescent="0.25">
      <c r="A36" s="11" t="s">
        <v>207</v>
      </c>
      <c r="B36" s="15">
        <v>5</v>
      </c>
      <c r="C36" s="13">
        <v>50</v>
      </c>
      <c r="D36" s="5">
        <f t="shared" si="0"/>
        <v>250</v>
      </c>
      <c r="H36" s="11" t="s">
        <v>208</v>
      </c>
      <c r="I36">
        <f t="shared" si="2"/>
        <v>2</v>
      </c>
      <c r="J36">
        <f t="shared" si="3"/>
        <v>15</v>
      </c>
    </row>
    <row r="37" spans="1:16" ht="30" x14ac:dyDescent="0.25">
      <c r="A37" s="11" t="s">
        <v>208</v>
      </c>
      <c r="B37" s="15">
        <v>10</v>
      </c>
      <c r="C37" s="13">
        <v>100</v>
      </c>
      <c r="D37" s="5">
        <f t="shared" si="0"/>
        <v>1000</v>
      </c>
      <c r="H37" s="11" t="s">
        <v>209</v>
      </c>
      <c r="I37">
        <f t="shared" si="2"/>
        <v>2</v>
      </c>
      <c r="J37">
        <f t="shared" si="3"/>
        <v>2</v>
      </c>
    </row>
    <row r="38" spans="1:16" ht="75" x14ac:dyDescent="0.25">
      <c r="A38" s="11" t="s">
        <v>209</v>
      </c>
      <c r="B38" s="15">
        <v>1</v>
      </c>
      <c r="C38" s="13">
        <v>7000</v>
      </c>
      <c r="D38" s="5">
        <f t="shared" si="0"/>
        <v>7000</v>
      </c>
      <c r="H38" s="11" t="s">
        <v>298</v>
      </c>
      <c r="I38" t="e">
        <f>COUNTIF($A$2:$A$161,H38)</f>
        <v>#VALUE!</v>
      </c>
      <c r="J38">
        <v>1</v>
      </c>
    </row>
    <row r="39" spans="1:16" ht="75" x14ac:dyDescent="0.25">
      <c r="A39" s="11" t="s">
        <v>299</v>
      </c>
      <c r="B39" s="15">
        <v>1</v>
      </c>
      <c r="C39" s="13">
        <v>70000</v>
      </c>
      <c r="D39" s="5">
        <f t="shared" si="0"/>
        <v>70000</v>
      </c>
      <c r="H39" s="11" t="s">
        <v>211</v>
      </c>
      <c r="I39">
        <f t="shared" si="2"/>
        <v>1</v>
      </c>
      <c r="J39">
        <f t="shared" si="3"/>
        <v>1</v>
      </c>
    </row>
    <row r="40" spans="1:16" ht="60" x14ac:dyDescent="0.25">
      <c r="A40" s="11" t="s">
        <v>211</v>
      </c>
      <c r="B40" s="15">
        <v>1</v>
      </c>
      <c r="C40" s="13">
        <v>25000</v>
      </c>
      <c r="D40" s="5">
        <f t="shared" si="0"/>
        <v>25000</v>
      </c>
      <c r="H40" s="11" t="s">
        <v>300</v>
      </c>
      <c r="I40">
        <f>COUNTIF($A$2:$A$161,H40)</f>
        <v>2</v>
      </c>
      <c r="J40">
        <f>SUMIF($A$2:$A$161,H40,$B$2:$B$161)</f>
        <v>100</v>
      </c>
    </row>
    <row r="41" spans="1:16" x14ac:dyDescent="0.25">
      <c r="A41" s="11" t="s">
        <v>300</v>
      </c>
      <c r="B41" s="15">
        <v>70</v>
      </c>
      <c r="C41" s="13">
        <v>50</v>
      </c>
      <c r="D41" s="5">
        <f t="shared" si="0"/>
        <v>3500</v>
      </c>
      <c r="H41" s="11" t="s">
        <v>213</v>
      </c>
      <c r="I41">
        <f t="shared" si="2"/>
        <v>1</v>
      </c>
      <c r="J41">
        <f t="shared" si="3"/>
        <v>2</v>
      </c>
    </row>
    <row r="42" spans="1:16" x14ac:dyDescent="0.25">
      <c r="A42" s="11" t="s">
        <v>213</v>
      </c>
      <c r="B42" s="15">
        <v>2</v>
      </c>
      <c r="C42" s="13">
        <v>3500</v>
      </c>
      <c r="D42" s="5">
        <f t="shared" si="0"/>
        <v>7000</v>
      </c>
      <c r="H42" s="11" t="s">
        <v>214</v>
      </c>
      <c r="I42">
        <f t="shared" si="2"/>
        <v>1</v>
      </c>
      <c r="J42">
        <f t="shared" si="3"/>
        <v>1</v>
      </c>
    </row>
    <row r="43" spans="1:16" x14ac:dyDescent="0.25">
      <c r="A43" s="11" t="s">
        <v>214</v>
      </c>
      <c r="B43" s="15">
        <v>1</v>
      </c>
      <c r="C43" s="13">
        <v>3200</v>
      </c>
      <c r="D43" s="5">
        <f t="shared" si="0"/>
        <v>3200</v>
      </c>
      <c r="H43" s="11" t="s">
        <v>215</v>
      </c>
      <c r="I43">
        <f t="shared" si="2"/>
        <v>1</v>
      </c>
      <c r="J43">
        <f t="shared" si="3"/>
        <v>50</v>
      </c>
    </row>
    <row r="44" spans="1:16" x14ac:dyDescent="0.25">
      <c r="A44" s="11" t="s">
        <v>215</v>
      </c>
      <c r="B44" s="15">
        <v>50</v>
      </c>
      <c r="C44" s="13">
        <v>400</v>
      </c>
      <c r="D44" s="5">
        <f t="shared" si="0"/>
        <v>20000</v>
      </c>
      <c r="H44" s="11" t="s">
        <v>216</v>
      </c>
      <c r="I44">
        <f t="shared" si="2"/>
        <v>1</v>
      </c>
      <c r="J44">
        <f t="shared" si="3"/>
        <v>1</v>
      </c>
    </row>
    <row r="45" spans="1:16" x14ac:dyDescent="0.25">
      <c r="A45" s="11" t="s">
        <v>216</v>
      </c>
      <c r="B45" s="15">
        <v>1</v>
      </c>
      <c r="C45" s="13">
        <v>20000</v>
      </c>
      <c r="D45" s="5">
        <f t="shared" si="0"/>
        <v>20000</v>
      </c>
      <c r="H45" s="11" t="s">
        <v>217</v>
      </c>
      <c r="I45">
        <f t="shared" si="2"/>
        <v>1</v>
      </c>
      <c r="J45">
        <f t="shared" si="3"/>
        <v>6</v>
      </c>
    </row>
    <row r="46" spans="1:16" x14ac:dyDescent="0.25">
      <c r="A46" s="11" t="s">
        <v>217</v>
      </c>
      <c r="B46" s="15">
        <v>6</v>
      </c>
      <c r="C46" s="13"/>
      <c r="D46" s="5">
        <f t="shared" si="0"/>
        <v>0</v>
      </c>
      <c r="H46" s="11" t="s">
        <v>218</v>
      </c>
      <c r="I46">
        <f t="shared" si="2"/>
        <v>2</v>
      </c>
      <c r="J46">
        <f t="shared" si="3"/>
        <v>10</v>
      </c>
    </row>
    <row r="47" spans="1:16" x14ac:dyDescent="0.25">
      <c r="A47" s="11" t="s">
        <v>218</v>
      </c>
      <c r="B47" s="15">
        <v>5</v>
      </c>
      <c r="C47" s="13">
        <v>800</v>
      </c>
      <c r="D47" s="5">
        <f t="shared" si="0"/>
        <v>4000</v>
      </c>
      <c r="H47" s="11" t="s">
        <v>219</v>
      </c>
      <c r="I47">
        <f t="shared" si="2"/>
        <v>1</v>
      </c>
      <c r="J47">
        <f t="shared" si="3"/>
        <v>120</v>
      </c>
    </row>
    <row r="48" spans="1:16" x14ac:dyDescent="0.25">
      <c r="A48" s="11" t="s">
        <v>219</v>
      </c>
      <c r="B48" s="15">
        <v>120</v>
      </c>
      <c r="C48" s="13"/>
      <c r="D48" s="5">
        <f t="shared" si="0"/>
        <v>0</v>
      </c>
      <c r="H48" s="11" t="s">
        <v>220</v>
      </c>
      <c r="I48">
        <f t="shared" si="2"/>
        <v>1</v>
      </c>
      <c r="J48">
        <f t="shared" si="3"/>
        <v>0</v>
      </c>
    </row>
    <row r="49" spans="1:10" ht="45" x14ac:dyDescent="0.25">
      <c r="A49" s="11" t="s">
        <v>220</v>
      </c>
      <c r="B49" s="15"/>
      <c r="C49" s="13"/>
      <c r="D49" s="5">
        <f t="shared" si="0"/>
        <v>0</v>
      </c>
      <c r="H49" s="11" t="s">
        <v>221</v>
      </c>
      <c r="I49">
        <f t="shared" si="2"/>
        <v>1</v>
      </c>
      <c r="J49">
        <f t="shared" si="3"/>
        <v>1</v>
      </c>
    </row>
    <row r="50" spans="1:10" ht="45" x14ac:dyDescent="0.25">
      <c r="A50" s="11" t="s">
        <v>221</v>
      </c>
      <c r="B50" s="15">
        <v>1</v>
      </c>
      <c r="C50" s="13">
        <v>20000</v>
      </c>
      <c r="D50" s="5">
        <f t="shared" si="0"/>
        <v>20000</v>
      </c>
      <c r="H50" s="11" t="s">
        <v>222</v>
      </c>
      <c r="I50">
        <f t="shared" si="2"/>
        <v>1</v>
      </c>
      <c r="J50">
        <f t="shared" si="3"/>
        <v>2</v>
      </c>
    </row>
    <row r="51" spans="1:10" ht="30" x14ac:dyDescent="0.25">
      <c r="A51" s="11" t="s">
        <v>222</v>
      </c>
      <c r="B51" s="15">
        <v>2</v>
      </c>
      <c r="C51" s="13">
        <v>6000</v>
      </c>
      <c r="D51" s="5">
        <f t="shared" si="0"/>
        <v>12000</v>
      </c>
      <c r="H51" s="11" t="s">
        <v>223</v>
      </c>
      <c r="I51">
        <f t="shared" si="2"/>
        <v>1</v>
      </c>
      <c r="J51">
        <f t="shared" si="3"/>
        <v>2</v>
      </c>
    </row>
    <row r="52" spans="1:10" ht="30" x14ac:dyDescent="0.25">
      <c r="A52" s="20" t="s">
        <v>177</v>
      </c>
      <c r="B52" s="15">
        <v>15</v>
      </c>
      <c r="C52" s="13">
        <v>1500</v>
      </c>
      <c r="D52" s="5">
        <f t="shared" si="0"/>
        <v>22500</v>
      </c>
      <c r="H52" s="11" t="s">
        <v>224</v>
      </c>
      <c r="I52">
        <f t="shared" si="2"/>
        <v>1</v>
      </c>
      <c r="J52">
        <f t="shared" si="3"/>
        <v>20</v>
      </c>
    </row>
    <row r="53" spans="1:10" x14ac:dyDescent="0.25">
      <c r="A53" s="20" t="s">
        <v>223</v>
      </c>
      <c r="B53" s="15">
        <v>2</v>
      </c>
      <c r="C53" s="13">
        <v>1000</v>
      </c>
      <c r="D53" s="5">
        <f t="shared" si="0"/>
        <v>2000</v>
      </c>
      <c r="H53" s="11" t="s">
        <v>225</v>
      </c>
      <c r="I53">
        <f t="shared" si="2"/>
        <v>1</v>
      </c>
      <c r="J53">
        <f t="shared" si="3"/>
        <v>2</v>
      </c>
    </row>
    <row r="54" spans="1:10" ht="30" x14ac:dyDescent="0.25">
      <c r="A54" s="20" t="s">
        <v>224</v>
      </c>
      <c r="B54" s="15">
        <v>20</v>
      </c>
      <c r="C54" s="13">
        <v>1000</v>
      </c>
      <c r="D54" s="5">
        <f t="shared" si="0"/>
        <v>20000</v>
      </c>
      <c r="H54" s="11" t="s">
        <v>226</v>
      </c>
      <c r="I54">
        <f t="shared" si="2"/>
        <v>1</v>
      </c>
      <c r="J54">
        <f t="shared" si="3"/>
        <v>5</v>
      </c>
    </row>
    <row r="55" spans="1:10" ht="30" x14ac:dyDescent="0.25">
      <c r="A55" s="20" t="s">
        <v>185</v>
      </c>
      <c r="B55" s="15">
        <v>2</v>
      </c>
      <c r="C55" s="13">
        <v>3500</v>
      </c>
      <c r="D55" s="5">
        <f t="shared" si="0"/>
        <v>7000</v>
      </c>
      <c r="H55" s="11" t="s">
        <v>227</v>
      </c>
      <c r="I55">
        <f t="shared" si="2"/>
        <v>1</v>
      </c>
      <c r="J55">
        <f t="shared" si="3"/>
        <v>3</v>
      </c>
    </row>
    <row r="56" spans="1:10" ht="30" x14ac:dyDescent="0.25">
      <c r="A56" s="20" t="s">
        <v>225</v>
      </c>
      <c r="B56" s="15">
        <v>2</v>
      </c>
      <c r="C56" s="13">
        <v>500</v>
      </c>
      <c r="D56" s="5">
        <f t="shared" si="0"/>
        <v>1000</v>
      </c>
      <c r="H56" s="11" t="s">
        <v>228</v>
      </c>
      <c r="I56">
        <f t="shared" si="2"/>
        <v>2</v>
      </c>
      <c r="J56">
        <f t="shared" si="3"/>
        <v>3</v>
      </c>
    </row>
    <row r="57" spans="1:10" ht="30" x14ac:dyDescent="0.25">
      <c r="A57" s="20" t="s">
        <v>187</v>
      </c>
      <c r="B57" s="15">
        <v>10</v>
      </c>
      <c r="C57" s="13">
        <v>350</v>
      </c>
      <c r="D57" s="5">
        <f t="shared" si="0"/>
        <v>3500</v>
      </c>
      <c r="H57" s="11" t="s">
        <v>229</v>
      </c>
      <c r="I57">
        <f t="shared" si="2"/>
        <v>1</v>
      </c>
      <c r="J57">
        <f t="shared" si="3"/>
        <v>1</v>
      </c>
    </row>
    <row r="58" spans="1:10" ht="30" x14ac:dyDescent="0.25">
      <c r="A58" s="20" t="s">
        <v>188</v>
      </c>
      <c r="B58" s="15">
        <v>5</v>
      </c>
      <c r="C58" s="13">
        <v>2200</v>
      </c>
      <c r="D58" s="5">
        <f t="shared" si="0"/>
        <v>11000</v>
      </c>
      <c r="H58" s="11" t="s">
        <v>230</v>
      </c>
      <c r="I58">
        <f t="shared" si="2"/>
        <v>1</v>
      </c>
      <c r="J58">
        <f t="shared" si="3"/>
        <v>5</v>
      </c>
    </row>
    <row r="59" spans="1:10" ht="45" x14ac:dyDescent="0.25">
      <c r="A59" s="20" t="s">
        <v>189</v>
      </c>
      <c r="B59" s="15">
        <v>20</v>
      </c>
      <c r="C59" s="13">
        <v>450</v>
      </c>
      <c r="D59" s="5">
        <f t="shared" si="0"/>
        <v>9000</v>
      </c>
      <c r="E59" t="s">
        <v>288</v>
      </c>
      <c r="H59" s="11" t="s">
        <v>231</v>
      </c>
      <c r="I59">
        <f t="shared" si="2"/>
        <v>1</v>
      </c>
      <c r="J59">
        <f t="shared" si="3"/>
        <v>1</v>
      </c>
    </row>
    <row r="60" spans="1:10" x14ac:dyDescent="0.25">
      <c r="A60" s="20"/>
      <c r="B60" s="15"/>
      <c r="C60" s="13">
        <v>1100</v>
      </c>
      <c r="D60" s="5">
        <f t="shared" si="0"/>
        <v>0</v>
      </c>
      <c r="E60" t="s">
        <v>289</v>
      </c>
      <c r="H60" s="11" t="s">
        <v>232</v>
      </c>
      <c r="I60">
        <f t="shared" si="2"/>
        <v>1</v>
      </c>
      <c r="J60">
        <f t="shared" si="3"/>
        <v>50</v>
      </c>
    </row>
    <row r="61" spans="1:10" ht="30" x14ac:dyDescent="0.25">
      <c r="A61" s="20" t="s">
        <v>226</v>
      </c>
      <c r="B61" s="15">
        <v>5</v>
      </c>
      <c r="C61" s="13">
        <v>800</v>
      </c>
      <c r="D61" s="5">
        <f t="shared" si="0"/>
        <v>4000</v>
      </c>
      <c r="E61" t="s">
        <v>288</v>
      </c>
      <c r="H61" s="11" t="s">
        <v>233</v>
      </c>
      <c r="I61">
        <f t="shared" si="2"/>
        <v>1</v>
      </c>
      <c r="J61">
        <f t="shared" si="3"/>
        <v>0</v>
      </c>
    </row>
    <row r="62" spans="1:10" ht="30" x14ac:dyDescent="0.25">
      <c r="A62" s="20"/>
      <c r="B62" s="15"/>
      <c r="C62" s="13">
        <v>1300</v>
      </c>
      <c r="D62" s="5">
        <f t="shared" si="0"/>
        <v>0</v>
      </c>
      <c r="E62" t="s">
        <v>289</v>
      </c>
      <c r="H62" s="11" t="s">
        <v>301</v>
      </c>
      <c r="I62">
        <f t="shared" si="2"/>
        <v>1</v>
      </c>
      <c r="J62">
        <f t="shared" si="3"/>
        <v>2</v>
      </c>
    </row>
    <row r="63" spans="1:10" ht="45" x14ac:dyDescent="0.25">
      <c r="A63" s="20" t="s">
        <v>191</v>
      </c>
      <c r="B63" s="15">
        <v>15</v>
      </c>
      <c r="C63" s="13">
        <v>50</v>
      </c>
      <c r="D63" s="5">
        <f t="shared" si="0"/>
        <v>750</v>
      </c>
      <c r="H63" s="11" t="s">
        <v>235</v>
      </c>
      <c r="I63">
        <f t="shared" si="2"/>
        <v>1</v>
      </c>
      <c r="J63">
        <f t="shared" si="3"/>
        <v>2</v>
      </c>
    </row>
    <row r="64" spans="1:10" ht="45" x14ac:dyDescent="0.25">
      <c r="A64" s="20" t="s">
        <v>227</v>
      </c>
      <c r="B64" s="15">
        <v>3</v>
      </c>
      <c r="C64" s="13">
        <v>1000</v>
      </c>
      <c r="D64" s="5">
        <f t="shared" si="0"/>
        <v>3000</v>
      </c>
      <c r="H64" s="11" t="s">
        <v>302</v>
      </c>
      <c r="I64">
        <f t="shared" si="2"/>
        <v>1</v>
      </c>
      <c r="J64">
        <f t="shared" si="3"/>
        <v>1</v>
      </c>
    </row>
    <row r="65" spans="1:10" ht="60" x14ac:dyDescent="0.25">
      <c r="A65" s="20" t="s">
        <v>228</v>
      </c>
      <c r="B65" s="15">
        <v>2</v>
      </c>
      <c r="C65" s="13">
        <v>1300</v>
      </c>
      <c r="D65" s="5">
        <f t="shared" si="0"/>
        <v>2600</v>
      </c>
      <c r="H65" s="11" t="s">
        <v>237</v>
      </c>
      <c r="I65">
        <f t="shared" si="2"/>
        <v>1</v>
      </c>
      <c r="J65">
        <f t="shared" si="3"/>
        <v>1</v>
      </c>
    </row>
    <row r="66" spans="1:10" ht="30" x14ac:dyDescent="0.25">
      <c r="A66" s="20" t="s">
        <v>194</v>
      </c>
      <c r="B66" s="15">
        <v>6</v>
      </c>
      <c r="C66" s="13">
        <v>700</v>
      </c>
      <c r="D66" s="5">
        <f t="shared" si="0"/>
        <v>4200</v>
      </c>
      <c r="H66" s="11" t="s">
        <v>238</v>
      </c>
      <c r="I66">
        <f t="shared" si="2"/>
        <v>1</v>
      </c>
      <c r="J66">
        <f t="shared" si="3"/>
        <v>1</v>
      </c>
    </row>
    <row r="67" spans="1:10" x14ac:dyDescent="0.25">
      <c r="A67" s="20" t="s">
        <v>195</v>
      </c>
      <c r="B67" s="15">
        <v>1</v>
      </c>
      <c r="C67" s="13">
        <v>800</v>
      </c>
      <c r="D67" s="5">
        <f t="shared" ref="D67:D130" si="6">C67*B67</f>
        <v>800</v>
      </c>
      <c r="H67" s="11" t="s">
        <v>239</v>
      </c>
      <c r="I67">
        <f t="shared" ref="I67:I118" si="7">COUNTIF($A$2:$A$161,H67)</f>
        <v>1</v>
      </c>
      <c r="J67">
        <f t="shared" si="3"/>
        <v>2</v>
      </c>
    </row>
    <row r="68" spans="1:10" x14ac:dyDescent="0.25">
      <c r="A68" s="20" t="s">
        <v>196</v>
      </c>
      <c r="B68" s="15">
        <v>1</v>
      </c>
      <c r="C68" s="13">
        <v>450</v>
      </c>
      <c r="D68" s="5">
        <f t="shared" si="6"/>
        <v>450</v>
      </c>
      <c r="H68" s="11" t="s">
        <v>240</v>
      </c>
      <c r="I68">
        <f t="shared" si="7"/>
        <v>1</v>
      </c>
      <c r="J68">
        <f t="shared" si="3"/>
        <v>2</v>
      </c>
    </row>
    <row r="69" spans="1:10" x14ac:dyDescent="0.25">
      <c r="A69" s="20" t="s">
        <v>197</v>
      </c>
      <c r="B69" s="15">
        <v>1</v>
      </c>
      <c r="C69" s="13">
        <v>500</v>
      </c>
      <c r="D69" s="5">
        <f t="shared" si="6"/>
        <v>500</v>
      </c>
      <c r="H69" s="11" t="s">
        <v>241</v>
      </c>
      <c r="I69">
        <f t="shared" si="7"/>
        <v>1</v>
      </c>
      <c r="J69">
        <f t="shared" si="3"/>
        <v>0</v>
      </c>
    </row>
    <row r="70" spans="1:10" ht="60" x14ac:dyDescent="0.25">
      <c r="A70" s="20" t="s">
        <v>198</v>
      </c>
      <c r="B70" s="15">
        <v>5</v>
      </c>
      <c r="C70" s="13">
        <v>200</v>
      </c>
      <c r="D70" s="5">
        <f t="shared" si="6"/>
        <v>1000</v>
      </c>
      <c r="H70" s="11" t="s">
        <v>303</v>
      </c>
      <c r="I70" t="e">
        <f t="shared" si="7"/>
        <v>#VALUE!</v>
      </c>
      <c r="J70">
        <v>1</v>
      </c>
    </row>
    <row r="71" spans="1:10" x14ac:dyDescent="0.25">
      <c r="A71" s="11" t="s">
        <v>199</v>
      </c>
      <c r="B71" s="15">
        <v>40</v>
      </c>
      <c r="C71" s="13">
        <v>120</v>
      </c>
      <c r="D71" s="5">
        <f t="shared" si="6"/>
        <v>4800</v>
      </c>
      <c r="H71" s="11" t="s">
        <v>243</v>
      </c>
      <c r="I71">
        <f t="shared" si="7"/>
        <v>1</v>
      </c>
      <c r="J71">
        <f t="shared" si="3"/>
        <v>1</v>
      </c>
    </row>
    <row r="72" spans="1:10" ht="30" x14ac:dyDescent="0.25">
      <c r="A72" s="11" t="s">
        <v>229</v>
      </c>
      <c r="B72" s="15">
        <v>1</v>
      </c>
      <c r="C72" s="13">
        <v>3500</v>
      </c>
      <c r="D72" s="5">
        <f t="shared" si="6"/>
        <v>3500</v>
      </c>
      <c r="H72" s="11" t="s">
        <v>244</v>
      </c>
      <c r="I72">
        <f t="shared" si="7"/>
        <v>1</v>
      </c>
      <c r="J72">
        <f t="shared" si="3"/>
        <v>1</v>
      </c>
    </row>
    <row r="73" spans="1:10" x14ac:dyDescent="0.25">
      <c r="A73" s="11" t="s">
        <v>204</v>
      </c>
      <c r="B73" s="15">
        <v>5</v>
      </c>
      <c r="C73" s="13">
        <v>100</v>
      </c>
      <c r="D73" s="5">
        <f t="shared" si="6"/>
        <v>500</v>
      </c>
      <c r="H73" s="11" t="s">
        <v>245</v>
      </c>
      <c r="I73">
        <f t="shared" si="7"/>
        <v>1</v>
      </c>
      <c r="J73">
        <f t="shared" si="3"/>
        <v>0</v>
      </c>
    </row>
    <row r="74" spans="1:10" ht="45" x14ac:dyDescent="0.25">
      <c r="A74" s="11" t="s">
        <v>205</v>
      </c>
      <c r="B74" s="15">
        <v>2</v>
      </c>
      <c r="C74" s="13">
        <v>100</v>
      </c>
      <c r="D74" s="5">
        <f t="shared" si="6"/>
        <v>200</v>
      </c>
      <c r="H74" s="11" t="s">
        <v>246</v>
      </c>
      <c r="I74">
        <f t="shared" si="7"/>
        <v>1</v>
      </c>
      <c r="J74">
        <f t="shared" si="3"/>
        <v>1</v>
      </c>
    </row>
    <row r="75" spans="1:10" ht="30" x14ac:dyDescent="0.25">
      <c r="A75" s="11" t="s">
        <v>230</v>
      </c>
      <c r="B75" s="15">
        <v>5</v>
      </c>
      <c r="C75" s="13">
        <v>500</v>
      </c>
      <c r="D75" s="5">
        <f t="shared" si="6"/>
        <v>2500</v>
      </c>
      <c r="H75" s="11" t="s">
        <v>247</v>
      </c>
      <c r="I75">
        <f t="shared" si="7"/>
        <v>1</v>
      </c>
      <c r="J75">
        <f t="shared" si="3"/>
        <v>1</v>
      </c>
    </row>
    <row r="76" spans="1:10" x14ac:dyDescent="0.25">
      <c r="A76" s="11" t="s">
        <v>207</v>
      </c>
      <c r="B76" s="15">
        <v>5</v>
      </c>
      <c r="C76" s="13">
        <v>50</v>
      </c>
      <c r="D76" s="5">
        <f t="shared" si="6"/>
        <v>250</v>
      </c>
      <c r="H76" s="11" t="s">
        <v>248</v>
      </c>
      <c r="I76">
        <f t="shared" si="7"/>
        <v>1</v>
      </c>
      <c r="J76">
        <f t="shared" si="3"/>
        <v>1</v>
      </c>
    </row>
    <row r="77" spans="1:10" x14ac:dyDescent="0.25">
      <c r="A77" s="11" t="s">
        <v>208</v>
      </c>
      <c r="B77" s="15">
        <v>5</v>
      </c>
      <c r="C77" s="13">
        <v>1000</v>
      </c>
      <c r="D77" s="5">
        <f t="shared" si="6"/>
        <v>5000</v>
      </c>
      <c r="H77" s="11" t="s">
        <v>249</v>
      </c>
      <c r="I77">
        <f t="shared" si="7"/>
        <v>1</v>
      </c>
      <c r="J77">
        <f t="shared" ref="J77:J118" si="8">SUMIF($A$2:$A$161,H77,$B$2:$B$161)</f>
        <v>1</v>
      </c>
    </row>
    <row r="78" spans="1:10" ht="30" x14ac:dyDescent="0.25">
      <c r="A78" s="11" t="s">
        <v>231</v>
      </c>
      <c r="B78" s="15">
        <v>1</v>
      </c>
      <c r="C78" s="13">
        <v>25000</v>
      </c>
      <c r="D78" s="5">
        <f t="shared" si="6"/>
        <v>25000</v>
      </c>
      <c r="H78" s="11" t="s">
        <v>250</v>
      </c>
      <c r="I78">
        <f t="shared" si="7"/>
        <v>1</v>
      </c>
      <c r="J78">
        <f t="shared" si="8"/>
        <v>1</v>
      </c>
    </row>
    <row r="79" spans="1:10" x14ac:dyDescent="0.25">
      <c r="A79" s="11" t="s">
        <v>300</v>
      </c>
      <c r="B79" s="15">
        <v>30</v>
      </c>
      <c r="C79" s="13">
        <v>50</v>
      </c>
      <c r="D79" s="5">
        <f t="shared" si="6"/>
        <v>1500</v>
      </c>
      <c r="H79" s="11" t="s">
        <v>251</v>
      </c>
      <c r="I79">
        <f t="shared" si="7"/>
        <v>1</v>
      </c>
      <c r="J79">
        <f t="shared" si="8"/>
        <v>1</v>
      </c>
    </row>
    <row r="80" spans="1:10" x14ac:dyDescent="0.25">
      <c r="A80" s="11" t="s">
        <v>232</v>
      </c>
      <c r="B80" s="15">
        <v>50</v>
      </c>
      <c r="C80" s="13">
        <v>250</v>
      </c>
      <c r="D80" s="5">
        <f t="shared" si="6"/>
        <v>12500</v>
      </c>
      <c r="H80" s="11" t="s">
        <v>252</v>
      </c>
      <c r="I80">
        <f t="shared" si="7"/>
        <v>1</v>
      </c>
      <c r="J80">
        <f t="shared" si="8"/>
        <v>1</v>
      </c>
    </row>
    <row r="81" spans="1:10" ht="30" x14ac:dyDescent="0.25">
      <c r="A81" s="11" t="s">
        <v>209</v>
      </c>
      <c r="B81" s="15">
        <v>1</v>
      </c>
      <c r="C81" s="13">
        <v>7000</v>
      </c>
      <c r="D81" s="5">
        <f t="shared" si="6"/>
        <v>7000</v>
      </c>
      <c r="H81" s="11" t="s">
        <v>253</v>
      </c>
      <c r="I81">
        <f t="shared" si="7"/>
        <v>1</v>
      </c>
      <c r="J81">
        <f t="shared" si="8"/>
        <v>1</v>
      </c>
    </row>
    <row r="82" spans="1:10" x14ac:dyDescent="0.25">
      <c r="A82" s="11" t="s">
        <v>218</v>
      </c>
      <c r="B82" s="15">
        <v>5</v>
      </c>
      <c r="C82" s="13">
        <v>800</v>
      </c>
      <c r="D82" s="5">
        <f t="shared" si="6"/>
        <v>4000</v>
      </c>
      <c r="H82" s="11" t="s">
        <v>254</v>
      </c>
      <c r="I82">
        <f t="shared" si="7"/>
        <v>1</v>
      </c>
      <c r="J82">
        <f t="shared" si="8"/>
        <v>1</v>
      </c>
    </row>
    <row r="83" spans="1:10" x14ac:dyDescent="0.25">
      <c r="A83" s="11" t="s">
        <v>233</v>
      </c>
      <c r="B83" s="15"/>
      <c r="C83" s="13"/>
      <c r="D83" s="5">
        <f t="shared" si="6"/>
        <v>0</v>
      </c>
      <c r="H83" s="11" t="s">
        <v>255</v>
      </c>
      <c r="I83">
        <f t="shared" si="7"/>
        <v>1</v>
      </c>
      <c r="J83">
        <f t="shared" si="8"/>
        <v>1</v>
      </c>
    </row>
    <row r="84" spans="1:10" ht="30" x14ac:dyDescent="0.25">
      <c r="A84" s="11" t="s">
        <v>301</v>
      </c>
      <c r="B84" s="15">
        <v>2</v>
      </c>
      <c r="C84" s="13">
        <v>30000</v>
      </c>
      <c r="D84" s="5">
        <f t="shared" si="6"/>
        <v>60000</v>
      </c>
      <c r="H84" s="11" t="s">
        <v>256</v>
      </c>
      <c r="I84">
        <f t="shared" si="7"/>
        <v>1</v>
      </c>
      <c r="J84">
        <f t="shared" si="8"/>
        <v>1</v>
      </c>
    </row>
    <row r="85" spans="1:10" ht="45" x14ac:dyDescent="0.25">
      <c r="A85" s="11" t="s">
        <v>235</v>
      </c>
      <c r="B85" s="15">
        <v>2</v>
      </c>
      <c r="C85" s="13">
        <v>2200</v>
      </c>
      <c r="D85" s="5">
        <f t="shared" si="6"/>
        <v>4400</v>
      </c>
      <c r="H85" s="11" t="s">
        <v>257</v>
      </c>
      <c r="I85">
        <f t="shared" si="7"/>
        <v>1</v>
      </c>
      <c r="J85">
        <f t="shared" si="8"/>
        <v>3</v>
      </c>
    </row>
    <row r="86" spans="1:10" ht="45" x14ac:dyDescent="0.25">
      <c r="A86" s="11" t="s">
        <v>302</v>
      </c>
      <c r="B86" s="15">
        <v>1</v>
      </c>
      <c r="C86" s="13">
        <v>12000</v>
      </c>
      <c r="D86" s="5">
        <f t="shared" si="6"/>
        <v>12000</v>
      </c>
      <c r="H86" s="11" t="s">
        <v>258</v>
      </c>
      <c r="I86">
        <f t="shared" si="7"/>
        <v>1</v>
      </c>
      <c r="J86">
        <f t="shared" si="8"/>
        <v>1</v>
      </c>
    </row>
    <row r="87" spans="1:10" ht="60" x14ac:dyDescent="0.25">
      <c r="A87" s="11" t="s">
        <v>237</v>
      </c>
      <c r="B87" s="15">
        <v>1</v>
      </c>
      <c r="C87" s="13">
        <v>10500</v>
      </c>
      <c r="D87" s="5">
        <f t="shared" si="6"/>
        <v>10500</v>
      </c>
      <c r="H87" s="11" t="s">
        <v>259</v>
      </c>
      <c r="I87">
        <f t="shared" si="7"/>
        <v>1</v>
      </c>
      <c r="J87">
        <f t="shared" si="8"/>
        <v>1</v>
      </c>
    </row>
    <row r="88" spans="1:10" ht="30" x14ac:dyDescent="0.25">
      <c r="A88" s="11" t="s">
        <v>185</v>
      </c>
      <c r="B88" s="15">
        <v>1</v>
      </c>
      <c r="C88" s="13">
        <v>3500</v>
      </c>
      <c r="D88" s="5">
        <f t="shared" si="6"/>
        <v>3500</v>
      </c>
      <c r="H88" s="11" t="s">
        <v>260</v>
      </c>
      <c r="I88">
        <f t="shared" si="7"/>
        <v>1</v>
      </c>
      <c r="J88">
        <f t="shared" si="8"/>
        <v>0</v>
      </c>
    </row>
    <row r="89" spans="1:10" x14ac:dyDescent="0.25">
      <c r="A89" s="11" t="s">
        <v>188</v>
      </c>
      <c r="B89" s="15">
        <v>1</v>
      </c>
      <c r="C89" s="13">
        <v>2200</v>
      </c>
      <c r="D89" s="5">
        <f t="shared" si="6"/>
        <v>2200</v>
      </c>
      <c r="H89" s="11" t="s">
        <v>261</v>
      </c>
      <c r="I89">
        <f t="shared" si="7"/>
        <v>1</v>
      </c>
      <c r="J89">
        <f t="shared" si="8"/>
        <v>0</v>
      </c>
    </row>
    <row r="90" spans="1:10" ht="45" x14ac:dyDescent="0.25">
      <c r="A90" s="11" t="s">
        <v>189</v>
      </c>
      <c r="B90" s="15">
        <v>4</v>
      </c>
      <c r="C90" s="13">
        <v>450</v>
      </c>
      <c r="D90" s="5">
        <f t="shared" si="6"/>
        <v>1800</v>
      </c>
      <c r="E90" t="s">
        <v>288</v>
      </c>
      <c r="H90" s="11" t="s">
        <v>262</v>
      </c>
      <c r="I90">
        <f t="shared" si="7"/>
        <v>1</v>
      </c>
      <c r="J90">
        <f t="shared" si="8"/>
        <v>150</v>
      </c>
    </row>
    <row r="91" spans="1:10" x14ac:dyDescent="0.25">
      <c r="A91" s="11"/>
      <c r="B91" s="15"/>
      <c r="C91" s="13">
        <v>1100</v>
      </c>
      <c r="D91" s="5">
        <f t="shared" si="6"/>
        <v>0</v>
      </c>
      <c r="E91" t="s">
        <v>289</v>
      </c>
      <c r="H91" s="11" t="s">
        <v>263</v>
      </c>
      <c r="I91">
        <f t="shared" si="7"/>
        <v>1</v>
      </c>
      <c r="J91">
        <f t="shared" si="8"/>
        <v>30</v>
      </c>
    </row>
    <row r="92" spans="1:10" ht="30" x14ac:dyDescent="0.25">
      <c r="A92" s="11" t="s">
        <v>190</v>
      </c>
      <c r="B92" s="15">
        <v>1</v>
      </c>
      <c r="C92" s="13">
        <v>800</v>
      </c>
      <c r="D92" s="5">
        <f t="shared" si="6"/>
        <v>800</v>
      </c>
      <c r="E92" t="s">
        <v>288</v>
      </c>
      <c r="H92" s="11" t="s">
        <v>264</v>
      </c>
      <c r="I92">
        <f t="shared" si="7"/>
        <v>1</v>
      </c>
      <c r="J92">
        <f t="shared" si="8"/>
        <v>20</v>
      </c>
    </row>
    <row r="93" spans="1:10" ht="30" x14ac:dyDescent="0.25">
      <c r="A93" s="11"/>
      <c r="B93" s="15"/>
      <c r="C93" s="13">
        <v>1300</v>
      </c>
      <c r="D93" s="5">
        <f t="shared" si="6"/>
        <v>0</v>
      </c>
      <c r="E93" t="s">
        <v>289</v>
      </c>
      <c r="H93" s="11" t="s">
        <v>265</v>
      </c>
      <c r="I93">
        <f t="shared" si="7"/>
        <v>1</v>
      </c>
      <c r="J93">
        <f t="shared" si="8"/>
        <v>10</v>
      </c>
    </row>
    <row r="94" spans="1:10" x14ac:dyDescent="0.25">
      <c r="A94" s="11" t="s">
        <v>191</v>
      </c>
      <c r="B94" s="15">
        <v>2</v>
      </c>
      <c r="C94" s="13">
        <v>50</v>
      </c>
      <c r="D94" s="5">
        <f t="shared" si="6"/>
        <v>100</v>
      </c>
      <c r="H94" s="11" t="s">
        <v>266</v>
      </c>
      <c r="I94">
        <f t="shared" si="7"/>
        <v>1</v>
      </c>
      <c r="J94">
        <f t="shared" si="8"/>
        <v>10</v>
      </c>
    </row>
    <row r="95" spans="1:10" ht="75" x14ac:dyDescent="0.25">
      <c r="A95" s="11" t="s">
        <v>192</v>
      </c>
      <c r="B95" s="15">
        <v>2</v>
      </c>
      <c r="C95" s="13">
        <v>1000</v>
      </c>
      <c r="D95" s="5">
        <f t="shared" si="6"/>
        <v>2000</v>
      </c>
      <c r="H95" s="11" t="s">
        <v>267</v>
      </c>
      <c r="I95" t="e">
        <f t="shared" si="7"/>
        <v>#VALUE!</v>
      </c>
      <c r="J95">
        <v>60</v>
      </c>
    </row>
    <row r="96" spans="1:10" ht="30" x14ac:dyDescent="0.25">
      <c r="A96" s="11" t="s">
        <v>228</v>
      </c>
      <c r="B96" s="15">
        <v>1</v>
      </c>
      <c r="C96" s="13">
        <v>1300</v>
      </c>
      <c r="D96" s="5">
        <f t="shared" si="6"/>
        <v>1300</v>
      </c>
      <c r="H96" s="11" t="s">
        <v>268</v>
      </c>
      <c r="I96">
        <f t="shared" si="7"/>
        <v>1</v>
      </c>
      <c r="J96">
        <f t="shared" si="8"/>
        <v>50</v>
      </c>
    </row>
    <row r="97" spans="1:10" x14ac:dyDescent="0.25">
      <c r="A97" s="11" t="s">
        <v>194</v>
      </c>
      <c r="B97" s="15">
        <v>1</v>
      </c>
      <c r="C97" s="13">
        <v>700</v>
      </c>
      <c r="D97" s="5">
        <f t="shared" si="6"/>
        <v>700</v>
      </c>
      <c r="H97" s="11" t="s">
        <v>269</v>
      </c>
      <c r="I97">
        <f t="shared" si="7"/>
        <v>1</v>
      </c>
      <c r="J97">
        <f t="shared" si="8"/>
        <v>2</v>
      </c>
    </row>
    <row r="98" spans="1:10" ht="75" x14ac:dyDescent="0.25">
      <c r="A98" s="11" t="s">
        <v>196</v>
      </c>
      <c r="B98" s="15">
        <v>1</v>
      </c>
      <c r="C98" s="13"/>
      <c r="D98" s="5">
        <f t="shared" si="6"/>
        <v>0</v>
      </c>
      <c r="H98" s="11" t="s">
        <v>270</v>
      </c>
      <c r="I98" t="e">
        <f t="shared" si="7"/>
        <v>#VALUE!</v>
      </c>
      <c r="J98">
        <v>4</v>
      </c>
    </row>
    <row r="99" spans="1:10" ht="30" x14ac:dyDescent="0.25">
      <c r="A99" s="11" t="s">
        <v>200</v>
      </c>
      <c r="B99" s="15">
        <v>1</v>
      </c>
      <c r="C99" s="13">
        <v>3500</v>
      </c>
      <c r="D99" s="5">
        <f t="shared" si="6"/>
        <v>3500</v>
      </c>
      <c r="H99" s="11" t="s">
        <v>271</v>
      </c>
      <c r="I99">
        <f t="shared" si="7"/>
        <v>1</v>
      </c>
      <c r="J99">
        <f t="shared" si="8"/>
        <v>72</v>
      </c>
    </row>
    <row r="100" spans="1:10" x14ac:dyDescent="0.25">
      <c r="A100" s="11" t="s">
        <v>201</v>
      </c>
      <c r="B100" s="15">
        <v>1</v>
      </c>
      <c r="C100" s="13">
        <v>100</v>
      </c>
      <c r="D100" s="5">
        <f t="shared" si="6"/>
        <v>100</v>
      </c>
      <c r="H100" s="11" t="s">
        <v>272</v>
      </c>
      <c r="I100">
        <f t="shared" si="7"/>
        <v>1</v>
      </c>
      <c r="J100">
        <f t="shared" si="8"/>
        <v>1</v>
      </c>
    </row>
    <row r="101" spans="1:10" x14ac:dyDescent="0.25">
      <c r="A101" s="11" t="s">
        <v>202</v>
      </c>
      <c r="B101" s="15">
        <v>1</v>
      </c>
      <c r="C101" s="13">
        <v>100</v>
      </c>
      <c r="D101" s="5">
        <f t="shared" si="6"/>
        <v>100</v>
      </c>
      <c r="H101" s="11" t="s">
        <v>273</v>
      </c>
      <c r="I101">
        <f t="shared" si="7"/>
        <v>1</v>
      </c>
      <c r="J101">
        <f t="shared" si="8"/>
        <v>1</v>
      </c>
    </row>
    <row r="102" spans="1:10" ht="30" x14ac:dyDescent="0.25">
      <c r="A102" s="11" t="s">
        <v>203</v>
      </c>
      <c r="B102" s="15">
        <v>1</v>
      </c>
      <c r="C102" s="13">
        <v>80</v>
      </c>
      <c r="D102" s="5">
        <f t="shared" si="6"/>
        <v>80</v>
      </c>
      <c r="H102" s="11" t="s">
        <v>274</v>
      </c>
      <c r="I102">
        <f t="shared" si="7"/>
        <v>1</v>
      </c>
      <c r="J102">
        <f t="shared" si="8"/>
        <v>2</v>
      </c>
    </row>
    <row r="103" spans="1:10" ht="30" x14ac:dyDescent="0.25">
      <c r="A103" s="11" t="s">
        <v>204</v>
      </c>
      <c r="B103" s="15">
        <v>2</v>
      </c>
      <c r="C103" s="13">
        <v>40</v>
      </c>
      <c r="D103" s="5">
        <f t="shared" si="6"/>
        <v>80</v>
      </c>
      <c r="H103" s="11" t="s">
        <v>275</v>
      </c>
      <c r="I103">
        <f t="shared" si="7"/>
        <v>1</v>
      </c>
      <c r="J103">
        <f t="shared" si="8"/>
        <v>2</v>
      </c>
    </row>
    <row r="104" spans="1:10" x14ac:dyDescent="0.25">
      <c r="A104" s="11" t="s">
        <v>205</v>
      </c>
      <c r="B104" s="15">
        <v>1</v>
      </c>
      <c r="C104" s="13">
        <v>40</v>
      </c>
      <c r="D104" s="5">
        <f t="shared" si="6"/>
        <v>40</v>
      </c>
      <c r="H104" s="11" t="s">
        <v>276</v>
      </c>
      <c r="I104">
        <f t="shared" si="7"/>
        <v>1</v>
      </c>
      <c r="J104">
        <f t="shared" si="8"/>
        <v>72</v>
      </c>
    </row>
    <row r="105" spans="1:10" ht="30" x14ac:dyDescent="0.25">
      <c r="A105" s="11" t="s">
        <v>238</v>
      </c>
      <c r="B105" s="15">
        <v>1</v>
      </c>
      <c r="C105" s="13"/>
      <c r="D105" s="5">
        <f t="shared" si="6"/>
        <v>0</v>
      </c>
      <c r="H105" s="11" t="s">
        <v>277</v>
      </c>
      <c r="I105">
        <f t="shared" si="7"/>
        <v>1</v>
      </c>
      <c r="J105">
        <f t="shared" si="8"/>
        <v>0</v>
      </c>
    </row>
    <row r="106" spans="1:10" ht="45" x14ac:dyDescent="0.25">
      <c r="A106" s="11" t="s">
        <v>239</v>
      </c>
      <c r="B106" s="15">
        <v>2</v>
      </c>
      <c r="C106" s="13"/>
      <c r="D106" s="5">
        <f t="shared" si="6"/>
        <v>0</v>
      </c>
      <c r="H106" s="11" t="s">
        <v>278</v>
      </c>
      <c r="I106">
        <f t="shared" si="7"/>
        <v>1</v>
      </c>
      <c r="J106">
        <f t="shared" si="8"/>
        <v>2</v>
      </c>
    </row>
    <row r="107" spans="1:10" ht="30" x14ac:dyDescent="0.25">
      <c r="A107" s="11" t="s">
        <v>240</v>
      </c>
      <c r="B107" s="15">
        <v>2</v>
      </c>
      <c r="C107" s="13">
        <v>2500</v>
      </c>
      <c r="D107" s="5">
        <f t="shared" si="6"/>
        <v>5000</v>
      </c>
      <c r="H107" s="11" t="s">
        <v>279</v>
      </c>
      <c r="I107">
        <f t="shared" si="7"/>
        <v>1</v>
      </c>
      <c r="J107">
        <f t="shared" si="8"/>
        <v>1</v>
      </c>
    </row>
    <row r="108" spans="1:10" ht="60" x14ac:dyDescent="0.25">
      <c r="A108" s="11" t="s">
        <v>241</v>
      </c>
      <c r="B108" s="15"/>
      <c r="C108" s="13"/>
      <c r="D108" s="5">
        <f t="shared" si="6"/>
        <v>0</v>
      </c>
      <c r="H108" s="11" t="s">
        <v>280</v>
      </c>
      <c r="I108">
        <f t="shared" si="7"/>
        <v>1</v>
      </c>
      <c r="J108">
        <f t="shared" si="8"/>
        <v>2</v>
      </c>
    </row>
    <row r="109" spans="1:10" ht="60" x14ac:dyDescent="0.25">
      <c r="A109" s="11" t="s">
        <v>304</v>
      </c>
      <c r="B109" s="15">
        <v>1</v>
      </c>
      <c r="C109" s="13">
        <v>450000</v>
      </c>
      <c r="D109" s="5">
        <f t="shared" si="6"/>
        <v>450000</v>
      </c>
      <c r="H109" s="11" t="s">
        <v>281</v>
      </c>
      <c r="I109">
        <f t="shared" si="7"/>
        <v>1</v>
      </c>
      <c r="J109">
        <f t="shared" si="8"/>
        <v>10</v>
      </c>
    </row>
    <row r="110" spans="1:10" ht="30" x14ac:dyDescent="0.25">
      <c r="A110" s="11" t="s">
        <v>243</v>
      </c>
      <c r="B110" s="15">
        <v>1</v>
      </c>
      <c r="C110" s="13">
        <v>160000</v>
      </c>
      <c r="D110" s="5">
        <f t="shared" si="6"/>
        <v>160000</v>
      </c>
      <c r="H110" s="11" t="s">
        <v>282</v>
      </c>
      <c r="I110">
        <f t="shared" si="7"/>
        <v>1</v>
      </c>
      <c r="J110">
        <f t="shared" si="8"/>
        <v>3</v>
      </c>
    </row>
    <row r="111" spans="1:10" x14ac:dyDescent="0.25">
      <c r="A111" s="11" t="s">
        <v>244</v>
      </c>
      <c r="B111" s="15">
        <v>1</v>
      </c>
      <c r="C111" s="13">
        <v>70000</v>
      </c>
      <c r="D111" s="5">
        <f t="shared" si="6"/>
        <v>70000</v>
      </c>
      <c r="H111" s="11" t="s">
        <v>283</v>
      </c>
      <c r="I111">
        <f t="shared" si="7"/>
        <v>1</v>
      </c>
      <c r="J111">
        <f t="shared" si="8"/>
        <v>1</v>
      </c>
    </row>
    <row r="112" spans="1:10" ht="30" x14ac:dyDescent="0.25">
      <c r="A112" s="11" t="s">
        <v>245</v>
      </c>
      <c r="B112" s="15"/>
      <c r="C112" s="13"/>
      <c r="D112" s="5">
        <f t="shared" si="6"/>
        <v>0</v>
      </c>
      <c r="H112" s="11" t="s">
        <v>284</v>
      </c>
      <c r="I112">
        <f t="shared" si="7"/>
        <v>1</v>
      </c>
      <c r="J112">
        <f t="shared" si="8"/>
        <v>3</v>
      </c>
    </row>
    <row r="113" spans="1:10" ht="45" x14ac:dyDescent="0.25">
      <c r="A113" s="11" t="s">
        <v>246</v>
      </c>
      <c r="B113" s="15">
        <v>1</v>
      </c>
      <c r="C113" s="13">
        <v>22000</v>
      </c>
      <c r="D113" s="5">
        <f t="shared" si="6"/>
        <v>22000</v>
      </c>
      <c r="H113" s="11" t="s">
        <v>285</v>
      </c>
      <c r="I113">
        <f t="shared" si="7"/>
        <v>1</v>
      </c>
      <c r="J113">
        <f t="shared" si="8"/>
        <v>2</v>
      </c>
    </row>
    <row r="114" spans="1:10" ht="30" x14ac:dyDescent="0.25">
      <c r="A114" s="11" t="s">
        <v>247</v>
      </c>
      <c r="B114" s="15">
        <v>1</v>
      </c>
      <c r="C114" s="13">
        <v>14000</v>
      </c>
      <c r="D114" s="5">
        <f t="shared" si="6"/>
        <v>14000</v>
      </c>
      <c r="H114" s="11" t="s">
        <v>286</v>
      </c>
      <c r="I114">
        <f t="shared" si="7"/>
        <v>1</v>
      </c>
      <c r="J114">
        <f t="shared" si="8"/>
        <v>2</v>
      </c>
    </row>
    <row r="115" spans="1:10" ht="30" x14ac:dyDescent="0.25">
      <c r="A115" s="11" t="s">
        <v>248</v>
      </c>
      <c r="B115" s="15">
        <v>1</v>
      </c>
      <c r="C115" s="13">
        <v>18000</v>
      </c>
      <c r="D115" s="5">
        <f t="shared" si="6"/>
        <v>18000</v>
      </c>
      <c r="H115" s="11" t="s">
        <v>287</v>
      </c>
      <c r="I115">
        <f t="shared" si="7"/>
        <v>1</v>
      </c>
      <c r="J115">
        <f t="shared" si="8"/>
        <v>1</v>
      </c>
    </row>
    <row r="116" spans="1:10" x14ac:dyDescent="0.25">
      <c r="A116" s="11" t="s">
        <v>249</v>
      </c>
      <c r="B116" s="15">
        <v>1</v>
      </c>
      <c r="C116" s="13">
        <v>12000</v>
      </c>
      <c r="D116" s="5">
        <f t="shared" si="6"/>
        <v>12000</v>
      </c>
      <c r="H116" s="12" t="s">
        <v>291</v>
      </c>
      <c r="I116">
        <f t="shared" si="7"/>
        <v>1</v>
      </c>
      <c r="J116">
        <f t="shared" si="8"/>
        <v>1200</v>
      </c>
    </row>
    <row r="117" spans="1:10" x14ac:dyDescent="0.25">
      <c r="A117" s="11" t="s">
        <v>250</v>
      </c>
      <c r="B117" s="15">
        <v>1</v>
      </c>
      <c r="C117" s="13">
        <v>20000</v>
      </c>
      <c r="D117" s="5">
        <f t="shared" si="6"/>
        <v>20000</v>
      </c>
      <c r="H117" s="12" t="s">
        <v>292</v>
      </c>
      <c r="I117">
        <f t="shared" si="7"/>
        <v>1</v>
      </c>
      <c r="J117">
        <f t="shared" si="8"/>
        <v>800</v>
      </c>
    </row>
    <row r="118" spans="1:10" x14ac:dyDescent="0.25">
      <c r="A118" s="11" t="s">
        <v>251</v>
      </c>
      <c r="B118" s="15">
        <v>1</v>
      </c>
      <c r="C118" s="13">
        <v>2500</v>
      </c>
      <c r="D118" s="5">
        <f t="shared" si="6"/>
        <v>2500</v>
      </c>
      <c r="H118" s="12" t="s">
        <v>293</v>
      </c>
      <c r="I118">
        <f t="shared" si="7"/>
        <v>1</v>
      </c>
      <c r="J118">
        <f t="shared" si="8"/>
        <v>500</v>
      </c>
    </row>
    <row r="119" spans="1:10" x14ac:dyDescent="0.25">
      <c r="A119" s="11" t="s">
        <v>252</v>
      </c>
      <c r="B119" s="15">
        <v>1</v>
      </c>
      <c r="C119" s="13">
        <v>3200</v>
      </c>
      <c r="D119" s="5">
        <f t="shared" si="6"/>
        <v>3200</v>
      </c>
    </row>
    <row r="120" spans="1:10" x14ac:dyDescent="0.25">
      <c r="A120" s="11" t="s">
        <v>253</v>
      </c>
      <c r="B120" s="15">
        <v>1</v>
      </c>
      <c r="C120" s="13"/>
      <c r="D120" s="5">
        <f t="shared" si="6"/>
        <v>0</v>
      </c>
    </row>
    <row r="121" spans="1:10" x14ac:dyDescent="0.25">
      <c r="A121" s="11" t="s">
        <v>254</v>
      </c>
      <c r="B121" s="15">
        <v>1</v>
      </c>
      <c r="C121" s="13"/>
      <c r="D121" s="5">
        <f t="shared" si="6"/>
        <v>0</v>
      </c>
    </row>
    <row r="122" spans="1:10" x14ac:dyDescent="0.25">
      <c r="A122" s="11" t="s">
        <v>255</v>
      </c>
      <c r="B122" s="15">
        <v>1</v>
      </c>
      <c r="C122" s="13">
        <v>400</v>
      </c>
      <c r="D122" s="5">
        <f t="shared" si="6"/>
        <v>400</v>
      </c>
    </row>
    <row r="123" spans="1:10" x14ac:dyDescent="0.25">
      <c r="A123" s="11" t="s">
        <v>256</v>
      </c>
      <c r="B123" s="15">
        <v>1</v>
      </c>
      <c r="C123" s="13">
        <v>500</v>
      </c>
      <c r="D123" s="5">
        <f t="shared" si="6"/>
        <v>500</v>
      </c>
    </row>
    <row r="124" spans="1:10" x14ac:dyDescent="0.25">
      <c r="A124" s="11" t="s">
        <v>257</v>
      </c>
      <c r="B124" s="15">
        <v>3</v>
      </c>
      <c r="C124" s="13">
        <v>500</v>
      </c>
      <c r="D124" s="5">
        <f t="shared" si="6"/>
        <v>1500</v>
      </c>
    </row>
    <row r="125" spans="1:10" x14ac:dyDescent="0.25">
      <c r="A125" s="11" t="s">
        <v>258</v>
      </c>
      <c r="B125" s="15">
        <v>1</v>
      </c>
      <c r="C125" s="13">
        <v>800</v>
      </c>
      <c r="D125" s="5">
        <f t="shared" si="6"/>
        <v>800</v>
      </c>
    </row>
    <row r="126" spans="1:10" x14ac:dyDescent="0.25">
      <c r="A126" s="11" t="s">
        <v>259</v>
      </c>
      <c r="B126" s="15">
        <v>1</v>
      </c>
      <c r="C126" s="13">
        <v>120</v>
      </c>
      <c r="D126" s="5">
        <f t="shared" si="6"/>
        <v>120</v>
      </c>
    </row>
    <row r="127" spans="1:10" x14ac:dyDescent="0.25">
      <c r="A127" s="11" t="s">
        <v>260</v>
      </c>
      <c r="B127" s="15"/>
      <c r="C127" s="13"/>
      <c r="D127" s="5">
        <f t="shared" si="6"/>
        <v>0</v>
      </c>
    </row>
    <row r="128" spans="1:10" x14ac:dyDescent="0.25">
      <c r="A128" s="11" t="s">
        <v>261</v>
      </c>
      <c r="B128" s="15"/>
      <c r="C128" s="13"/>
      <c r="D128" s="5">
        <f t="shared" si="6"/>
        <v>0</v>
      </c>
    </row>
    <row r="129" spans="1:5" x14ac:dyDescent="0.25">
      <c r="A129" s="11" t="s">
        <v>262</v>
      </c>
      <c r="B129" s="15">
        <v>150</v>
      </c>
      <c r="C129" s="13">
        <f>350+125</f>
        <v>475</v>
      </c>
      <c r="D129" s="5">
        <f t="shared" si="6"/>
        <v>71250</v>
      </c>
    </row>
    <row r="130" spans="1:5" x14ac:dyDescent="0.25">
      <c r="A130" s="11" t="s">
        <v>263</v>
      </c>
      <c r="B130" s="15">
        <v>30</v>
      </c>
      <c r="C130" s="13"/>
      <c r="D130" s="5">
        <f t="shared" si="6"/>
        <v>0</v>
      </c>
    </row>
    <row r="131" spans="1:5" x14ac:dyDescent="0.25">
      <c r="A131" s="11" t="s">
        <v>264</v>
      </c>
      <c r="B131" s="15">
        <v>20</v>
      </c>
      <c r="C131" s="13">
        <v>2500</v>
      </c>
      <c r="D131" s="5">
        <f t="shared" ref="D131:D156" si="9">C131*B131</f>
        <v>50000</v>
      </c>
    </row>
    <row r="132" spans="1:5" ht="30" x14ac:dyDescent="0.25">
      <c r="A132" s="11" t="s">
        <v>265</v>
      </c>
      <c r="B132" s="15">
        <v>10</v>
      </c>
      <c r="C132" s="13">
        <v>3500</v>
      </c>
      <c r="D132" s="5">
        <f t="shared" si="9"/>
        <v>35000</v>
      </c>
    </row>
    <row r="133" spans="1:5" x14ac:dyDescent="0.25">
      <c r="A133" s="11" t="s">
        <v>266</v>
      </c>
      <c r="B133" s="15">
        <v>10</v>
      </c>
      <c r="C133" s="13">
        <v>2000</v>
      </c>
      <c r="D133" s="5">
        <f t="shared" si="9"/>
        <v>20000</v>
      </c>
    </row>
    <row r="134" spans="1:5" ht="75" x14ac:dyDescent="0.25">
      <c r="A134" s="11" t="s">
        <v>267</v>
      </c>
      <c r="B134" s="15">
        <v>60</v>
      </c>
      <c r="C134" s="13">
        <v>500</v>
      </c>
      <c r="D134" s="5">
        <f t="shared" si="9"/>
        <v>30000</v>
      </c>
      <c r="E134" t="s">
        <v>288</v>
      </c>
    </row>
    <row r="135" spans="1:5" x14ac:dyDescent="0.25">
      <c r="A135" s="11"/>
      <c r="B135" s="15"/>
      <c r="C135" s="13">
        <v>700</v>
      </c>
      <c r="D135" s="5"/>
      <c r="E135" t="s">
        <v>290</v>
      </c>
    </row>
    <row r="136" spans="1:5" ht="30" x14ac:dyDescent="0.25">
      <c r="A136" s="11" t="s">
        <v>268</v>
      </c>
      <c r="B136" s="15">
        <v>50</v>
      </c>
      <c r="C136" s="13">
        <v>700</v>
      </c>
      <c r="D136" s="5">
        <f t="shared" si="9"/>
        <v>35000</v>
      </c>
    </row>
    <row r="137" spans="1:5" x14ac:dyDescent="0.25">
      <c r="A137" s="11" t="s">
        <v>269</v>
      </c>
      <c r="B137" s="15">
        <v>2</v>
      </c>
      <c r="C137" s="13">
        <v>50</v>
      </c>
      <c r="D137" s="5">
        <f t="shared" si="9"/>
        <v>100</v>
      </c>
    </row>
    <row r="138" spans="1:5" ht="75" x14ac:dyDescent="0.25">
      <c r="A138" s="11" t="s">
        <v>270</v>
      </c>
      <c r="B138" s="15">
        <v>4</v>
      </c>
      <c r="C138" s="13">
        <v>50</v>
      </c>
      <c r="D138" s="5">
        <f t="shared" si="9"/>
        <v>200</v>
      </c>
    </row>
    <row r="139" spans="1:5" x14ac:dyDescent="0.25">
      <c r="A139" s="11" t="s">
        <v>271</v>
      </c>
      <c r="B139" s="15">
        <v>72</v>
      </c>
      <c r="C139" s="13">
        <v>50</v>
      </c>
      <c r="D139" s="5">
        <f t="shared" si="9"/>
        <v>3600</v>
      </c>
    </row>
    <row r="140" spans="1:5" x14ac:dyDescent="0.25">
      <c r="A140" s="11" t="s">
        <v>272</v>
      </c>
      <c r="B140" s="15">
        <v>1</v>
      </c>
      <c r="C140" s="13">
        <v>100</v>
      </c>
      <c r="D140" s="5">
        <f t="shared" si="9"/>
        <v>100</v>
      </c>
    </row>
    <row r="141" spans="1:5" x14ac:dyDescent="0.25">
      <c r="A141" s="11" t="s">
        <v>273</v>
      </c>
      <c r="B141" s="15">
        <v>1</v>
      </c>
      <c r="C141" s="13">
        <v>100</v>
      </c>
      <c r="D141" s="5">
        <f t="shared" si="9"/>
        <v>100</v>
      </c>
    </row>
    <row r="142" spans="1:5" ht="30" x14ac:dyDescent="0.25">
      <c r="A142" s="11" t="s">
        <v>274</v>
      </c>
      <c r="B142" s="15">
        <v>2</v>
      </c>
      <c r="C142" s="13">
        <v>1000</v>
      </c>
      <c r="D142" s="5">
        <f t="shared" si="9"/>
        <v>2000</v>
      </c>
    </row>
    <row r="143" spans="1:5" ht="30" x14ac:dyDescent="0.25">
      <c r="A143" s="11" t="s">
        <v>275</v>
      </c>
      <c r="B143" s="15">
        <v>2</v>
      </c>
      <c r="C143" s="13">
        <v>800</v>
      </c>
      <c r="D143" s="5">
        <f t="shared" si="9"/>
        <v>1600</v>
      </c>
      <c r="E143" t="s">
        <v>288</v>
      </c>
    </row>
    <row r="144" spans="1:5" x14ac:dyDescent="0.25">
      <c r="A144" s="11"/>
      <c r="B144" s="15"/>
      <c r="C144" s="13">
        <v>1300</v>
      </c>
      <c r="D144" s="5">
        <f t="shared" si="9"/>
        <v>0</v>
      </c>
      <c r="E144" t="s">
        <v>289</v>
      </c>
    </row>
    <row r="145" spans="1:4" x14ac:dyDescent="0.25">
      <c r="A145" s="11" t="s">
        <v>276</v>
      </c>
      <c r="B145" s="15">
        <v>72</v>
      </c>
      <c r="C145" s="13">
        <v>100</v>
      </c>
      <c r="D145" s="5">
        <f t="shared" si="9"/>
        <v>7200</v>
      </c>
    </row>
    <row r="146" spans="1:4" x14ac:dyDescent="0.25">
      <c r="A146" s="11" t="s">
        <v>277</v>
      </c>
      <c r="B146" s="15"/>
      <c r="C146" s="13"/>
      <c r="D146" s="5">
        <f t="shared" si="9"/>
        <v>0</v>
      </c>
    </row>
    <row r="147" spans="1:4" ht="45" x14ac:dyDescent="0.25">
      <c r="A147" s="11" t="s">
        <v>278</v>
      </c>
      <c r="B147" s="15">
        <v>2</v>
      </c>
      <c r="C147" s="13">
        <v>55000</v>
      </c>
      <c r="D147" s="5">
        <f t="shared" si="9"/>
        <v>110000</v>
      </c>
    </row>
    <row r="148" spans="1:4" ht="30" x14ac:dyDescent="0.25">
      <c r="A148" s="11" t="s">
        <v>279</v>
      </c>
      <c r="B148" s="15">
        <v>1</v>
      </c>
      <c r="C148" s="13">
        <v>45000</v>
      </c>
      <c r="D148" s="5">
        <f t="shared" si="9"/>
        <v>45000</v>
      </c>
    </row>
    <row r="149" spans="1:4" ht="60" x14ac:dyDescent="0.25">
      <c r="A149" s="11" t="s">
        <v>280</v>
      </c>
      <c r="B149" s="15">
        <v>2</v>
      </c>
      <c r="C149" s="13">
        <v>2200</v>
      </c>
      <c r="D149" s="5">
        <f t="shared" si="9"/>
        <v>4400</v>
      </c>
    </row>
    <row r="150" spans="1:4" x14ac:dyDescent="0.25">
      <c r="A150" s="11" t="s">
        <v>281</v>
      </c>
      <c r="B150" s="15">
        <v>10</v>
      </c>
      <c r="C150" s="13">
        <v>1000</v>
      </c>
      <c r="D150" s="5">
        <f t="shared" si="9"/>
        <v>10000</v>
      </c>
    </row>
    <row r="151" spans="1:4" ht="30" x14ac:dyDescent="0.25">
      <c r="A151" s="11" t="s">
        <v>282</v>
      </c>
      <c r="B151" s="15">
        <v>3</v>
      </c>
      <c r="C151" s="13"/>
      <c r="D151" s="5">
        <f t="shared" si="9"/>
        <v>0</v>
      </c>
    </row>
    <row r="152" spans="1:4" x14ac:dyDescent="0.25">
      <c r="A152" s="11" t="s">
        <v>283</v>
      </c>
      <c r="B152" s="15">
        <v>1</v>
      </c>
      <c r="C152" s="13">
        <v>2700</v>
      </c>
      <c r="D152" s="5">
        <f t="shared" si="9"/>
        <v>2700</v>
      </c>
    </row>
    <row r="153" spans="1:4" ht="30" x14ac:dyDescent="0.25">
      <c r="A153" s="11" t="s">
        <v>284</v>
      </c>
      <c r="B153" s="15">
        <v>3</v>
      </c>
      <c r="C153" s="13"/>
      <c r="D153" s="5">
        <f t="shared" si="9"/>
        <v>0</v>
      </c>
    </row>
    <row r="154" spans="1:4" ht="30" x14ac:dyDescent="0.25">
      <c r="A154" s="11" t="s">
        <v>285</v>
      </c>
      <c r="B154" s="15">
        <v>2</v>
      </c>
      <c r="C154" s="13"/>
      <c r="D154" s="5">
        <f t="shared" si="9"/>
        <v>0</v>
      </c>
    </row>
    <row r="155" spans="1:4" ht="30" x14ac:dyDescent="0.25">
      <c r="A155" s="11" t="s">
        <v>286</v>
      </c>
      <c r="B155" s="15">
        <v>2</v>
      </c>
      <c r="C155" s="13"/>
      <c r="D155" s="5">
        <f t="shared" si="9"/>
        <v>0</v>
      </c>
    </row>
    <row r="156" spans="1:4" ht="30" x14ac:dyDescent="0.25">
      <c r="A156" s="11" t="s">
        <v>287</v>
      </c>
      <c r="B156" s="15">
        <v>1</v>
      </c>
      <c r="C156" s="13"/>
      <c r="D156" s="5">
        <f t="shared" si="9"/>
        <v>0</v>
      </c>
    </row>
    <row r="158" spans="1:4" x14ac:dyDescent="0.25">
      <c r="A158" s="12" t="s">
        <v>291</v>
      </c>
      <c r="B158" s="16">
        <v>1200</v>
      </c>
      <c r="C158" s="14">
        <v>3500</v>
      </c>
      <c r="D158" s="5">
        <f>C158*B158</f>
        <v>4200000</v>
      </c>
    </row>
    <row r="159" spans="1:4" x14ac:dyDescent="0.25">
      <c r="A159" s="12" t="s">
        <v>292</v>
      </c>
      <c r="B159" s="16">
        <v>800</v>
      </c>
      <c r="C159" s="14">
        <v>1700</v>
      </c>
      <c r="D159" s="5">
        <f t="shared" ref="D159:D161" si="10">C159*B159</f>
        <v>1360000</v>
      </c>
    </row>
    <row r="160" spans="1:4" x14ac:dyDescent="0.25">
      <c r="D160" s="5">
        <f t="shared" si="10"/>
        <v>0</v>
      </c>
    </row>
    <row r="161" spans="1:4" x14ac:dyDescent="0.25">
      <c r="A161" s="12" t="s">
        <v>293</v>
      </c>
      <c r="B161" s="16">
        <v>500</v>
      </c>
      <c r="C161" s="14">
        <v>35000</v>
      </c>
      <c r="D161" s="5">
        <f t="shared" si="10"/>
        <v>17500000</v>
      </c>
    </row>
    <row r="162" spans="1:4" x14ac:dyDescent="0.25">
      <c r="D162" s="5">
        <f>SUM(D1:D161)</f>
        <v>26138860</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23"/>
  <sheetViews>
    <sheetView workbookViewId="0">
      <selection activeCell="D124" sqref="D124"/>
    </sheetView>
  </sheetViews>
  <sheetFormatPr defaultRowHeight="15" x14ac:dyDescent="0.25"/>
  <cols>
    <col min="1" max="1" width="67.85546875" bestFit="1" customWidth="1"/>
    <col min="2" max="2" width="11.5703125" style="21" customWidth="1"/>
    <col min="3" max="3" width="11.7109375" style="18" bestFit="1" customWidth="1"/>
    <col min="4" max="4" width="19" style="17" customWidth="1"/>
  </cols>
  <sheetData>
    <row r="2" spans="1:4" ht="45" x14ac:dyDescent="0.25">
      <c r="A2" s="11" t="s">
        <v>175</v>
      </c>
      <c r="B2" s="22">
        <v>50</v>
      </c>
      <c r="C2" s="23">
        <v>20000</v>
      </c>
      <c r="D2" s="17">
        <f>C2*B2</f>
        <v>1000000</v>
      </c>
    </row>
    <row r="3" spans="1:4" ht="30" x14ac:dyDescent="0.25">
      <c r="A3" s="11" t="s">
        <v>176</v>
      </c>
      <c r="B3" s="22">
        <v>10</v>
      </c>
      <c r="C3" s="23">
        <v>6000</v>
      </c>
      <c r="D3" s="17">
        <f t="shared" ref="D3:D66" si="0">C3*B3</f>
        <v>60000</v>
      </c>
    </row>
    <row r="4" spans="1:4" ht="30" x14ac:dyDescent="0.25">
      <c r="A4" s="11" t="s">
        <v>177</v>
      </c>
      <c r="B4" s="22">
        <v>45</v>
      </c>
      <c r="C4" s="23">
        <v>1500</v>
      </c>
      <c r="D4" s="17">
        <f t="shared" si="0"/>
        <v>67500</v>
      </c>
    </row>
    <row r="5" spans="1:4" ht="30" x14ac:dyDescent="0.25">
      <c r="A5" s="11" t="s">
        <v>178</v>
      </c>
      <c r="B5" s="22">
        <v>20</v>
      </c>
      <c r="C5" s="23">
        <v>2000</v>
      </c>
      <c r="D5" s="17">
        <f t="shared" si="0"/>
        <v>40000</v>
      </c>
    </row>
    <row r="6" spans="1:4" ht="30" x14ac:dyDescent="0.25">
      <c r="A6" s="11" t="s">
        <v>179</v>
      </c>
      <c r="B6" s="22">
        <v>6</v>
      </c>
      <c r="C6" s="23">
        <v>3500</v>
      </c>
      <c r="D6" s="17">
        <f t="shared" si="0"/>
        <v>21000</v>
      </c>
    </row>
    <row r="7" spans="1:4" x14ac:dyDescent="0.25">
      <c r="A7" s="11" t="s">
        <v>180</v>
      </c>
      <c r="B7" s="22">
        <v>3</v>
      </c>
      <c r="C7" s="23">
        <v>1200</v>
      </c>
      <c r="D7" s="17">
        <f t="shared" si="0"/>
        <v>3600</v>
      </c>
    </row>
    <row r="8" spans="1:4" x14ac:dyDescent="0.25">
      <c r="A8" s="11" t="s">
        <v>181</v>
      </c>
      <c r="B8" s="22">
        <v>3</v>
      </c>
      <c r="C8" s="23">
        <v>3000</v>
      </c>
      <c r="D8" s="17">
        <f t="shared" si="0"/>
        <v>9000</v>
      </c>
    </row>
    <row r="9" spans="1:4" ht="75" x14ac:dyDescent="0.25">
      <c r="A9" s="11" t="s">
        <v>182</v>
      </c>
      <c r="B9" s="22">
        <v>50</v>
      </c>
      <c r="C9" s="23">
        <v>1500</v>
      </c>
      <c r="D9" s="17">
        <f t="shared" si="0"/>
        <v>75000</v>
      </c>
    </row>
    <row r="10" spans="1:4" ht="45" x14ac:dyDescent="0.25">
      <c r="A10" s="11" t="s">
        <v>183</v>
      </c>
      <c r="B10" s="22">
        <v>6</v>
      </c>
      <c r="C10" s="23">
        <v>1400</v>
      </c>
      <c r="D10" s="17">
        <f t="shared" si="0"/>
        <v>8400</v>
      </c>
    </row>
    <row r="11" spans="1:4" x14ac:dyDescent="0.25">
      <c r="A11" s="11" t="s">
        <v>184</v>
      </c>
      <c r="B11" s="22">
        <v>15</v>
      </c>
      <c r="C11" s="23">
        <v>140</v>
      </c>
      <c r="D11" s="17">
        <f t="shared" si="0"/>
        <v>2100</v>
      </c>
    </row>
    <row r="12" spans="1:4" ht="30" x14ac:dyDescent="0.25">
      <c r="A12" s="11" t="s">
        <v>185</v>
      </c>
      <c r="B12" s="21">
        <v>6</v>
      </c>
      <c r="C12" s="23">
        <v>3500</v>
      </c>
      <c r="D12" s="17">
        <f t="shared" si="0"/>
        <v>21000</v>
      </c>
    </row>
    <row r="13" spans="1:4" x14ac:dyDescent="0.25">
      <c r="A13" s="11" t="s">
        <v>186</v>
      </c>
      <c r="B13" s="21">
        <v>3</v>
      </c>
      <c r="C13" s="23">
        <v>500</v>
      </c>
      <c r="D13" s="17">
        <f t="shared" si="0"/>
        <v>1500</v>
      </c>
    </row>
    <row r="14" spans="1:4" ht="30" x14ac:dyDescent="0.25">
      <c r="A14" s="11" t="s">
        <v>187</v>
      </c>
      <c r="B14" s="21">
        <v>20</v>
      </c>
      <c r="C14" s="23">
        <v>350</v>
      </c>
      <c r="D14" s="17">
        <f t="shared" si="0"/>
        <v>7000</v>
      </c>
    </row>
    <row r="15" spans="1:4" x14ac:dyDescent="0.25">
      <c r="A15" s="11" t="s">
        <v>188</v>
      </c>
      <c r="B15" s="21">
        <v>16</v>
      </c>
      <c r="C15" s="23">
        <v>2200</v>
      </c>
      <c r="D15" s="17">
        <f t="shared" si="0"/>
        <v>35200</v>
      </c>
    </row>
    <row r="16" spans="1:4" ht="45" x14ac:dyDescent="0.25">
      <c r="A16" s="11" t="s">
        <v>189</v>
      </c>
      <c r="B16" s="21">
        <v>144</v>
      </c>
      <c r="C16" s="23">
        <v>450</v>
      </c>
      <c r="D16" s="17">
        <f t="shared" si="0"/>
        <v>64800</v>
      </c>
    </row>
    <row r="17" spans="1:4" x14ac:dyDescent="0.25">
      <c r="A17" s="11"/>
      <c r="B17" s="21">
        <v>0</v>
      </c>
      <c r="C17" s="23">
        <v>1100</v>
      </c>
      <c r="D17" s="17">
        <f t="shared" si="0"/>
        <v>0</v>
      </c>
    </row>
    <row r="18" spans="1:4" ht="30" x14ac:dyDescent="0.25">
      <c r="A18" s="11" t="s">
        <v>190</v>
      </c>
      <c r="B18" s="21">
        <v>21</v>
      </c>
      <c r="C18" s="23">
        <v>800</v>
      </c>
      <c r="D18" s="17">
        <f t="shared" si="0"/>
        <v>16800</v>
      </c>
    </row>
    <row r="19" spans="1:4" x14ac:dyDescent="0.25">
      <c r="A19" s="11"/>
      <c r="C19" s="23">
        <v>1300</v>
      </c>
      <c r="D19" s="17">
        <f t="shared" si="0"/>
        <v>0</v>
      </c>
    </row>
    <row r="20" spans="1:4" x14ac:dyDescent="0.25">
      <c r="A20" s="11" t="s">
        <v>191</v>
      </c>
      <c r="B20" s="21">
        <v>67</v>
      </c>
      <c r="C20" s="23">
        <v>50</v>
      </c>
      <c r="D20" s="17">
        <f t="shared" si="0"/>
        <v>3350</v>
      </c>
    </row>
    <row r="21" spans="1:4" ht="30" x14ac:dyDescent="0.25">
      <c r="A21" s="11" t="s">
        <v>192</v>
      </c>
      <c r="B21" s="21">
        <v>7</v>
      </c>
      <c r="C21" s="23">
        <v>1000</v>
      </c>
      <c r="D21" s="17">
        <f t="shared" si="0"/>
        <v>7000</v>
      </c>
    </row>
    <row r="22" spans="1:4" ht="45" x14ac:dyDescent="0.25">
      <c r="A22" s="11" t="s">
        <v>193</v>
      </c>
      <c r="B22" s="21">
        <v>3</v>
      </c>
      <c r="C22" s="23">
        <v>1300</v>
      </c>
      <c r="D22" s="17">
        <f t="shared" si="0"/>
        <v>3900</v>
      </c>
    </row>
    <row r="23" spans="1:4" x14ac:dyDescent="0.25">
      <c r="A23" s="11" t="s">
        <v>194</v>
      </c>
      <c r="B23" s="21">
        <v>17</v>
      </c>
      <c r="C23" s="23">
        <v>700</v>
      </c>
      <c r="D23" s="17">
        <f t="shared" si="0"/>
        <v>11900</v>
      </c>
    </row>
    <row r="24" spans="1:4" x14ac:dyDescent="0.25">
      <c r="A24" s="11" t="s">
        <v>195</v>
      </c>
      <c r="B24" s="21">
        <v>3</v>
      </c>
      <c r="C24" s="23">
        <v>800</v>
      </c>
      <c r="D24" s="17">
        <f t="shared" si="0"/>
        <v>2400</v>
      </c>
    </row>
    <row r="25" spans="1:4" x14ac:dyDescent="0.25">
      <c r="A25" s="11" t="s">
        <v>196</v>
      </c>
      <c r="B25" s="21">
        <v>3</v>
      </c>
      <c r="C25" s="23">
        <v>450</v>
      </c>
      <c r="D25" s="17">
        <f t="shared" si="0"/>
        <v>1350</v>
      </c>
    </row>
    <row r="26" spans="1:4" x14ac:dyDescent="0.25">
      <c r="A26" s="11" t="s">
        <v>197</v>
      </c>
      <c r="B26" s="21">
        <v>2</v>
      </c>
      <c r="C26" s="23">
        <v>500</v>
      </c>
      <c r="D26" s="17">
        <f t="shared" si="0"/>
        <v>1000</v>
      </c>
    </row>
    <row r="27" spans="1:4" x14ac:dyDescent="0.25">
      <c r="A27" s="11" t="s">
        <v>198</v>
      </c>
      <c r="B27" s="21">
        <v>7</v>
      </c>
      <c r="C27" s="23">
        <v>200</v>
      </c>
      <c r="D27" s="17">
        <f t="shared" si="0"/>
        <v>1400</v>
      </c>
    </row>
    <row r="28" spans="1:4" x14ac:dyDescent="0.25">
      <c r="A28" s="11" t="s">
        <v>199</v>
      </c>
      <c r="B28" s="21">
        <v>110</v>
      </c>
      <c r="C28" s="23">
        <v>120</v>
      </c>
      <c r="D28" s="17">
        <f t="shared" si="0"/>
        <v>13200</v>
      </c>
    </row>
    <row r="29" spans="1:4" ht="30" x14ac:dyDescent="0.25">
      <c r="A29" s="11" t="s">
        <v>200</v>
      </c>
      <c r="B29" s="21">
        <v>3</v>
      </c>
      <c r="C29" s="23">
        <v>3500</v>
      </c>
      <c r="D29" s="17">
        <f t="shared" si="0"/>
        <v>10500</v>
      </c>
    </row>
    <row r="30" spans="1:4" x14ac:dyDescent="0.25">
      <c r="A30" s="11" t="s">
        <v>201</v>
      </c>
      <c r="B30" s="21">
        <v>7</v>
      </c>
      <c r="C30" s="23">
        <v>100</v>
      </c>
      <c r="D30" s="17">
        <f t="shared" si="0"/>
        <v>700</v>
      </c>
    </row>
    <row r="31" spans="1:4" x14ac:dyDescent="0.25">
      <c r="A31" s="11" t="s">
        <v>202</v>
      </c>
      <c r="B31" s="21">
        <v>4</v>
      </c>
      <c r="C31" s="23">
        <v>100</v>
      </c>
      <c r="D31" s="17">
        <f t="shared" si="0"/>
        <v>400</v>
      </c>
    </row>
    <row r="32" spans="1:4" ht="30" x14ac:dyDescent="0.25">
      <c r="A32" s="11" t="s">
        <v>203</v>
      </c>
      <c r="B32" s="21">
        <v>4</v>
      </c>
      <c r="C32" s="23">
        <v>80</v>
      </c>
      <c r="D32" s="17">
        <f t="shared" si="0"/>
        <v>320</v>
      </c>
    </row>
    <row r="33" spans="1:4" x14ac:dyDescent="0.25">
      <c r="A33" s="11" t="s">
        <v>204</v>
      </c>
      <c r="B33" s="21">
        <v>57</v>
      </c>
      <c r="C33" s="23">
        <v>40</v>
      </c>
      <c r="D33" s="17">
        <f t="shared" si="0"/>
        <v>2280</v>
      </c>
    </row>
    <row r="34" spans="1:4" x14ac:dyDescent="0.25">
      <c r="A34" s="11" t="s">
        <v>205</v>
      </c>
      <c r="B34" s="21">
        <v>13</v>
      </c>
      <c r="C34" s="23">
        <v>40</v>
      </c>
      <c r="D34" s="17">
        <f t="shared" si="0"/>
        <v>520</v>
      </c>
    </row>
    <row r="35" spans="1:4" ht="30" x14ac:dyDescent="0.25">
      <c r="A35" s="11" t="s">
        <v>206</v>
      </c>
      <c r="B35" s="21">
        <v>5</v>
      </c>
      <c r="C35" s="23">
        <v>500</v>
      </c>
      <c r="D35" s="17">
        <f t="shared" si="0"/>
        <v>2500</v>
      </c>
    </row>
    <row r="36" spans="1:4" x14ac:dyDescent="0.25">
      <c r="A36" s="11" t="s">
        <v>207</v>
      </c>
      <c r="B36" s="21">
        <v>10</v>
      </c>
      <c r="C36" s="23">
        <v>50</v>
      </c>
      <c r="D36" s="17">
        <f t="shared" si="0"/>
        <v>500</v>
      </c>
    </row>
    <row r="37" spans="1:4" x14ac:dyDescent="0.25">
      <c r="A37" s="11" t="s">
        <v>208</v>
      </c>
      <c r="B37" s="21">
        <v>15</v>
      </c>
      <c r="C37" s="23">
        <v>100</v>
      </c>
      <c r="D37" s="17">
        <f t="shared" si="0"/>
        <v>1500</v>
      </c>
    </row>
    <row r="38" spans="1:4" ht="30" x14ac:dyDescent="0.25">
      <c r="A38" s="11" t="s">
        <v>209</v>
      </c>
      <c r="B38" s="21">
        <v>2</v>
      </c>
      <c r="C38" s="23">
        <v>7000</v>
      </c>
      <c r="D38" s="17">
        <f t="shared" si="0"/>
        <v>14000</v>
      </c>
    </row>
    <row r="39" spans="1:4" ht="90" x14ac:dyDescent="0.25">
      <c r="A39" s="11" t="s">
        <v>210</v>
      </c>
      <c r="B39" s="21">
        <v>1</v>
      </c>
      <c r="C39" s="23">
        <v>70000</v>
      </c>
      <c r="D39" s="17">
        <f t="shared" si="0"/>
        <v>70000</v>
      </c>
    </row>
    <row r="40" spans="1:4" ht="60" x14ac:dyDescent="0.25">
      <c r="A40" s="11" t="s">
        <v>211</v>
      </c>
      <c r="B40" s="21">
        <v>1</v>
      </c>
      <c r="C40" s="23">
        <v>25000</v>
      </c>
      <c r="D40" s="17">
        <f t="shared" si="0"/>
        <v>25000</v>
      </c>
    </row>
    <row r="41" spans="1:4" ht="75" x14ac:dyDescent="0.25">
      <c r="A41" s="11" t="s">
        <v>212</v>
      </c>
      <c r="B41" s="21">
        <v>100</v>
      </c>
      <c r="C41" s="23">
        <v>50</v>
      </c>
      <c r="D41" s="17">
        <f t="shared" si="0"/>
        <v>5000</v>
      </c>
    </row>
    <row r="42" spans="1:4" x14ac:dyDescent="0.25">
      <c r="A42" s="11" t="s">
        <v>213</v>
      </c>
      <c r="B42" s="21">
        <v>2</v>
      </c>
      <c r="C42" s="23">
        <v>3500</v>
      </c>
      <c r="D42" s="17">
        <f t="shared" si="0"/>
        <v>7000</v>
      </c>
    </row>
    <row r="43" spans="1:4" x14ac:dyDescent="0.25">
      <c r="A43" s="11" t="s">
        <v>214</v>
      </c>
      <c r="B43" s="21">
        <v>1</v>
      </c>
      <c r="C43" s="23">
        <v>3200</v>
      </c>
      <c r="D43" s="17">
        <f t="shared" si="0"/>
        <v>3200</v>
      </c>
    </row>
    <row r="44" spans="1:4" x14ac:dyDescent="0.25">
      <c r="A44" s="11" t="s">
        <v>215</v>
      </c>
      <c r="B44" s="21">
        <v>50</v>
      </c>
      <c r="C44" s="23">
        <v>400</v>
      </c>
      <c r="D44" s="17">
        <f t="shared" si="0"/>
        <v>20000</v>
      </c>
    </row>
    <row r="45" spans="1:4" x14ac:dyDescent="0.25">
      <c r="A45" s="11" t="s">
        <v>216</v>
      </c>
      <c r="B45" s="21">
        <v>1</v>
      </c>
      <c r="C45" s="23">
        <v>20000</v>
      </c>
      <c r="D45" s="17">
        <f t="shared" si="0"/>
        <v>20000</v>
      </c>
    </row>
    <row r="46" spans="1:4" x14ac:dyDescent="0.25">
      <c r="A46" s="11" t="s">
        <v>217</v>
      </c>
      <c r="B46" s="21">
        <v>6</v>
      </c>
      <c r="C46" s="24"/>
      <c r="D46" s="17">
        <f t="shared" si="0"/>
        <v>0</v>
      </c>
    </row>
    <row r="47" spans="1:4" x14ac:dyDescent="0.25">
      <c r="A47" s="11" t="s">
        <v>218</v>
      </c>
      <c r="B47" s="21">
        <v>10</v>
      </c>
      <c r="C47" s="23">
        <v>800</v>
      </c>
      <c r="D47" s="17">
        <f t="shared" si="0"/>
        <v>8000</v>
      </c>
    </row>
    <row r="48" spans="1:4" x14ac:dyDescent="0.25">
      <c r="A48" s="11" t="s">
        <v>219</v>
      </c>
      <c r="B48" s="21">
        <v>120</v>
      </c>
      <c r="C48" s="23"/>
      <c r="D48" s="17">
        <f t="shared" si="0"/>
        <v>0</v>
      </c>
    </row>
    <row r="49" spans="1:4" x14ac:dyDescent="0.25">
      <c r="A49" s="19" t="s">
        <v>220</v>
      </c>
      <c r="B49" s="21">
        <v>0</v>
      </c>
      <c r="C49" s="23"/>
      <c r="D49" s="17">
        <f t="shared" si="0"/>
        <v>0</v>
      </c>
    </row>
    <row r="50" spans="1:4" ht="45" x14ac:dyDescent="0.25">
      <c r="A50" s="11" t="s">
        <v>221</v>
      </c>
      <c r="B50" s="21">
        <v>1</v>
      </c>
      <c r="C50" s="23">
        <v>20000</v>
      </c>
      <c r="D50" s="17">
        <f t="shared" si="0"/>
        <v>20000</v>
      </c>
    </row>
    <row r="51" spans="1:4" ht="30" x14ac:dyDescent="0.25">
      <c r="A51" s="11" t="s">
        <v>222</v>
      </c>
      <c r="B51" s="21">
        <v>2</v>
      </c>
      <c r="C51" s="23">
        <v>6000</v>
      </c>
      <c r="D51" s="17">
        <f t="shared" si="0"/>
        <v>12000</v>
      </c>
    </row>
    <row r="52" spans="1:4" x14ac:dyDescent="0.25">
      <c r="A52" s="11" t="s">
        <v>223</v>
      </c>
      <c r="B52" s="21">
        <v>2</v>
      </c>
      <c r="C52" s="23">
        <v>1000</v>
      </c>
      <c r="D52" s="17">
        <f t="shared" si="0"/>
        <v>2000</v>
      </c>
    </row>
    <row r="53" spans="1:4" x14ac:dyDescent="0.25">
      <c r="A53" s="11" t="s">
        <v>224</v>
      </c>
      <c r="B53" s="21">
        <v>20</v>
      </c>
      <c r="C53" s="23">
        <v>1000</v>
      </c>
      <c r="D53" s="17">
        <f t="shared" si="0"/>
        <v>20000</v>
      </c>
    </row>
    <row r="54" spans="1:4" x14ac:dyDescent="0.25">
      <c r="A54" s="11" t="s">
        <v>225</v>
      </c>
      <c r="B54" s="21">
        <v>2</v>
      </c>
      <c r="C54" s="23">
        <v>500</v>
      </c>
      <c r="D54" s="17">
        <f t="shared" si="0"/>
        <v>1000</v>
      </c>
    </row>
    <row r="55" spans="1:4" ht="30" x14ac:dyDescent="0.25">
      <c r="A55" s="11" t="s">
        <v>226</v>
      </c>
      <c r="B55" s="21">
        <v>5</v>
      </c>
      <c r="C55" s="23">
        <v>800</v>
      </c>
      <c r="D55" s="17">
        <f t="shared" si="0"/>
        <v>4000</v>
      </c>
    </row>
    <row r="56" spans="1:4" ht="30" x14ac:dyDescent="0.25">
      <c r="A56" s="11" t="s">
        <v>227</v>
      </c>
      <c r="B56" s="21">
        <v>3</v>
      </c>
      <c r="C56" s="23">
        <v>1000</v>
      </c>
      <c r="D56" s="17">
        <f t="shared" si="0"/>
        <v>3000</v>
      </c>
    </row>
    <row r="57" spans="1:4" ht="30" x14ac:dyDescent="0.25">
      <c r="A57" s="11" t="s">
        <v>228</v>
      </c>
      <c r="B57" s="21">
        <v>3</v>
      </c>
      <c r="C57" s="23">
        <v>1300</v>
      </c>
      <c r="D57" s="17">
        <f t="shared" si="0"/>
        <v>3900</v>
      </c>
    </row>
    <row r="58" spans="1:4" ht="30" x14ac:dyDescent="0.25">
      <c r="A58" s="11" t="s">
        <v>229</v>
      </c>
      <c r="B58" s="21">
        <v>1</v>
      </c>
      <c r="C58" s="23">
        <v>3500</v>
      </c>
      <c r="D58" s="17">
        <f t="shared" si="0"/>
        <v>3500</v>
      </c>
    </row>
    <row r="59" spans="1:4" ht="30" x14ac:dyDescent="0.25">
      <c r="A59" s="11" t="s">
        <v>230</v>
      </c>
      <c r="B59" s="21">
        <v>5</v>
      </c>
      <c r="C59" s="23">
        <v>500</v>
      </c>
      <c r="D59" s="17">
        <f t="shared" si="0"/>
        <v>2500</v>
      </c>
    </row>
    <row r="60" spans="1:4" ht="30" x14ac:dyDescent="0.25">
      <c r="A60" s="11" t="s">
        <v>231</v>
      </c>
      <c r="B60" s="21">
        <v>1</v>
      </c>
      <c r="C60" s="23">
        <v>25000</v>
      </c>
      <c r="D60" s="17">
        <f t="shared" si="0"/>
        <v>25000</v>
      </c>
    </row>
    <row r="61" spans="1:4" x14ac:dyDescent="0.25">
      <c r="A61" s="11" t="s">
        <v>232</v>
      </c>
      <c r="B61" s="21">
        <v>50</v>
      </c>
      <c r="C61" s="23">
        <v>250</v>
      </c>
      <c r="D61" s="17">
        <f t="shared" si="0"/>
        <v>12500</v>
      </c>
    </row>
    <row r="62" spans="1:4" x14ac:dyDescent="0.25">
      <c r="A62" s="19" t="s">
        <v>233</v>
      </c>
      <c r="B62" s="21">
        <v>0</v>
      </c>
      <c r="D62" s="17">
        <f t="shared" si="0"/>
        <v>0</v>
      </c>
    </row>
    <row r="63" spans="1:4" ht="75" x14ac:dyDescent="0.25">
      <c r="A63" s="11" t="s">
        <v>234</v>
      </c>
      <c r="B63" s="21">
        <v>2</v>
      </c>
      <c r="C63" s="23">
        <v>30000</v>
      </c>
      <c r="D63" s="17">
        <f t="shared" si="0"/>
        <v>60000</v>
      </c>
    </row>
    <row r="64" spans="1:4" ht="45" x14ac:dyDescent="0.25">
      <c r="A64" s="11" t="s">
        <v>235</v>
      </c>
      <c r="B64" s="21">
        <v>2</v>
      </c>
      <c r="C64" s="23">
        <v>2200</v>
      </c>
      <c r="D64" s="17">
        <f t="shared" si="0"/>
        <v>4400</v>
      </c>
    </row>
    <row r="65" spans="1:4" ht="75" x14ac:dyDescent="0.25">
      <c r="A65" s="11" t="s">
        <v>236</v>
      </c>
      <c r="B65" s="21">
        <v>1</v>
      </c>
      <c r="C65" s="23">
        <v>12000</v>
      </c>
      <c r="D65" s="17">
        <f t="shared" si="0"/>
        <v>12000</v>
      </c>
    </row>
    <row r="66" spans="1:4" ht="60" x14ac:dyDescent="0.25">
      <c r="A66" s="11" t="s">
        <v>237</v>
      </c>
      <c r="B66" s="21">
        <v>1</v>
      </c>
      <c r="C66" s="23">
        <v>10500</v>
      </c>
      <c r="D66" s="17">
        <f t="shared" si="0"/>
        <v>10500</v>
      </c>
    </row>
    <row r="67" spans="1:4" ht="30" x14ac:dyDescent="0.25">
      <c r="A67" s="11" t="s">
        <v>238</v>
      </c>
      <c r="B67" s="21">
        <v>1</v>
      </c>
      <c r="C67" s="23"/>
      <c r="D67" s="17">
        <f t="shared" ref="D67:D120" si="1">C67*B67</f>
        <v>0</v>
      </c>
    </row>
    <row r="68" spans="1:4" x14ac:dyDescent="0.25">
      <c r="A68" s="11" t="s">
        <v>239</v>
      </c>
      <c r="B68" s="21">
        <v>2</v>
      </c>
      <c r="C68" s="23"/>
      <c r="D68" s="17">
        <f t="shared" si="1"/>
        <v>0</v>
      </c>
    </row>
    <row r="69" spans="1:4" x14ac:dyDescent="0.25">
      <c r="A69" s="11" t="s">
        <v>240</v>
      </c>
      <c r="B69" s="21">
        <v>2</v>
      </c>
      <c r="C69" s="23">
        <v>2500</v>
      </c>
      <c r="D69" s="17">
        <f t="shared" si="1"/>
        <v>5000</v>
      </c>
    </row>
    <row r="70" spans="1:4" x14ac:dyDescent="0.25">
      <c r="A70" s="19" t="s">
        <v>241</v>
      </c>
      <c r="B70" s="21">
        <v>0</v>
      </c>
      <c r="C70" s="23"/>
      <c r="D70" s="17">
        <f t="shared" si="1"/>
        <v>0</v>
      </c>
    </row>
    <row r="71" spans="1:4" ht="90" x14ac:dyDescent="0.25">
      <c r="A71" s="11" t="s">
        <v>242</v>
      </c>
      <c r="B71" s="21">
        <v>1</v>
      </c>
      <c r="C71" s="23">
        <v>450000</v>
      </c>
      <c r="D71" s="17">
        <f t="shared" si="1"/>
        <v>450000</v>
      </c>
    </row>
    <row r="72" spans="1:4" x14ac:dyDescent="0.25">
      <c r="A72" s="11" t="s">
        <v>243</v>
      </c>
      <c r="B72" s="21">
        <v>1</v>
      </c>
      <c r="C72" s="23">
        <v>160000</v>
      </c>
      <c r="D72" s="17">
        <f t="shared" si="1"/>
        <v>160000</v>
      </c>
    </row>
    <row r="73" spans="1:4" x14ac:dyDescent="0.25">
      <c r="A73" s="11" t="s">
        <v>244</v>
      </c>
      <c r="B73" s="21">
        <v>1</v>
      </c>
      <c r="C73" s="23">
        <v>70000</v>
      </c>
      <c r="D73" s="17">
        <f t="shared" si="1"/>
        <v>70000</v>
      </c>
    </row>
    <row r="74" spans="1:4" x14ac:dyDescent="0.25">
      <c r="A74" s="19" t="s">
        <v>245</v>
      </c>
      <c r="B74" s="21">
        <v>0</v>
      </c>
      <c r="C74" s="23"/>
      <c r="D74" s="17">
        <f t="shared" si="1"/>
        <v>0</v>
      </c>
    </row>
    <row r="75" spans="1:4" ht="45" x14ac:dyDescent="0.25">
      <c r="A75" s="11" t="s">
        <v>246</v>
      </c>
      <c r="B75" s="21">
        <v>1</v>
      </c>
      <c r="C75" s="23">
        <v>22000</v>
      </c>
      <c r="D75" s="17">
        <f t="shared" si="1"/>
        <v>22000</v>
      </c>
    </row>
    <row r="76" spans="1:4" ht="30" x14ac:dyDescent="0.25">
      <c r="A76" s="11" t="s">
        <v>247</v>
      </c>
      <c r="B76" s="21">
        <v>1</v>
      </c>
      <c r="C76" s="23">
        <v>14000</v>
      </c>
      <c r="D76" s="17">
        <f t="shared" si="1"/>
        <v>14000</v>
      </c>
    </row>
    <row r="77" spans="1:4" x14ac:dyDescent="0.25">
      <c r="A77" s="11" t="s">
        <v>248</v>
      </c>
      <c r="B77" s="21">
        <v>1</v>
      </c>
      <c r="C77" s="23">
        <v>18000</v>
      </c>
      <c r="D77" s="17">
        <f t="shared" si="1"/>
        <v>18000</v>
      </c>
    </row>
    <row r="78" spans="1:4" x14ac:dyDescent="0.25">
      <c r="A78" s="11" t="s">
        <v>249</v>
      </c>
      <c r="B78" s="21">
        <v>1</v>
      </c>
      <c r="C78" s="23">
        <v>12000</v>
      </c>
      <c r="D78" s="17">
        <f t="shared" si="1"/>
        <v>12000</v>
      </c>
    </row>
    <row r="79" spans="1:4" x14ac:dyDescent="0.25">
      <c r="A79" s="11" t="s">
        <v>250</v>
      </c>
      <c r="B79" s="21">
        <v>1</v>
      </c>
      <c r="C79" s="23">
        <v>20000</v>
      </c>
      <c r="D79" s="17">
        <f t="shared" si="1"/>
        <v>20000</v>
      </c>
    </row>
    <row r="80" spans="1:4" x14ac:dyDescent="0.25">
      <c r="A80" s="11" t="s">
        <v>251</v>
      </c>
      <c r="B80" s="21">
        <v>1</v>
      </c>
      <c r="C80" s="23">
        <v>2500</v>
      </c>
      <c r="D80" s="17">
        <f t="shared" si="1"/>
        <v>2500</v>
      </c>
    </row>
    <row r="81" spans="1:4" x14ac:dyDescent="0.25">
      <c r="A81" s="11" t="s">
        <v>252</v>
      </c>
      <c r="B81" s="21">
        <v>1</v>
      </c>
      <c r="C81" s="23">
        <v>3200</v>
      </c>
      <c r="D81" s="17">
        <f t="shared" si="1"/>
        <v>3200</v>
      </c>
    </row>
    <row r="82" spans="1:4" x14ac:dyDescent="0.25">
      <c r="A82" s="11" t="s">
        <v>253</v>
      </c>
      <c r="B82" s="21">
        <v>1</v>
      </c>
      <c r="C82" s="23"/>
      <c r="D82" s="17">
        <f t="shared" si="1"/>
        <v>0</v>
      </c>
    </row>
    <row r="83" spans="1:4" x14ac:dyDescent="0.25">
      <c r="A83" s="11" t="s">
        <v>254</v>
      </c>
      <c r="B83" s="21">
        <v>1</v>
      </c>
      <c r="C83" s="23"/>
      <c r="D83" s="17">
        <f t="shared" si="1"/>
        <v>0</v>
      </c>
    </row>
    <row r="84" spans="1:4" x14ac:dyDescent="0.25">
      <c r="A84" s="11" t="s">
        <v>255</v>
      </c>
      <c r="B84" s="21">
        <v>1</v>
      </c>
      <c r="C84" s="23">
        <v>400</v>
      </c>
      <c r="D84" s="17">
        <f t="shared" si="1"/>
        <v>400</v>
      </c>
    </row>
    <row r="85" spans="1:4" x14ac:dyDescent="0.25">
      <c r="A85" s="11" t="s">
        <v>256</v>
      </c>
      <c r="B85" s="21">
        <v>1</v>
      </c>
      <c r="C85" s="23">
        <v>500</v>
      </c>
      <c r="D85" s="17">
        <f t="shared" si="1"/>
        <v>500</v>
      </c>
    </row>
    <row r="86" spans="1:4" x14ac:dyDescent="0.25">
      <c r="A86" s="11" t="s">
        <v>257</v>
      </c>
      <c r="B86" s="21">
        <v>3</v>
      </c>
      <c r="C86" s="23">
        <v>500</v>
      </c>
      <c r="D86" s="17">
        <f t="shared" si="1"/>
        <v>1500</v>
      </c>
    </row>
    <row r="87" spans="1:4" x14ac:dyDescent="0.25">
      <c r="A87" s="11" t="s">
        <v>258</v>
      </c>
      <c r="B87" s="21">
        <v>1</v>
      </c>
      <c r="C87" s="23">
        <v>800</v>
      </c>
      <c r="D87" s="17">
        <f t="shared" si="1"/>
        <v>800</v>
      </c>
    </row>
    <row r="88" spans="1:4" x14ac:dyDescent="0.25">
      <c r="A88" s="11" t="s">
        <v>259</v>
      </c>
      <c r="B88" s="21">
        <v>1</v>
      </c>
      <c r="C88" s="23">
        <v>120</v>
      </c>
      <c r="D88" s="17">
        <f t="shared" si="1"/>
        <v>120</v>
      </c>
    </row>
    <row r="89" spans="1:4" x14ac:dyDescent="0.25">
      <c r="A89" s="19" t="s">
        <v>260</v>
      </c>
      <c r="B89" s="21">
        <v>0</v>
      </c>
      <c r="C89" s="23"/>
      <c r="D89" s="17">
        <f t="shared" si="1"/>
        <v>0</v>
      </c>
    </row>
    <row r="90" spans="1:4" x14ac:dyDescent="0.25">
      <c r="A90" s="11" t="s">
        <v>261</v>
      </c>
      <c r="B90" s="21">
        <v>0</v>
      </c>
      <c r="C90" s="23"/>
      <c r="D90" s="17">
        <f t="shared" si="1"/>
        <v>0</v>
      </c>
    </row>
    <row r="91" spans="1:4" x14ac:dyDescent="0.25">
      <c r="A91" s="11" t="s">
        <v>262</v>
      </c>
      <c r="B91" s="21">
        <v>150</v>
      </c>
      <c r="C91" s="23">
        <v>475</v>
      </c>
      <c r="D91" s="17">
        <f t="shared" si="1"/>
        <v>71250</v>
      </c>
    </row>
    <row r="92" spans="1:4" x14ac:dyDescent="0.25">
      <c r="A92" s="11" t="s">
        <v>263</v>
      </c>
      <c r="B92" s="21">
        <v>30</v>
      </c>
      <c r="C92" s="23"/>
      <c r="D92" s="17">
        <f t="shared" si="1"/>
        <v>0</v>
      </c>
    </row>
    <row r="93" spans="1:4" x14ac:dyDescent="0.25">
      <c r="A93" s="11" t="s">
        <v>264</v>
      </c>
      <c r="B93" s="21">
        <v>20</v>
      </c>
      <c r="C93" s="23">
        <v>2500</v>
      </c>
      <c r="D93" s="17">
        <f t="shared" si="1"/>
        <v>50000</v>
      </c>
    </row>
    <row r="94" spans="1:4" ht="30" x14ac:dyDescent="0.25">
      <c r="A94" s="11" t="s">
        <v>265</v>
      </c>
      <c r="B94" s="21">
        <v>10</v>
      </c>
      <c r="C94" s="23">
        <v>3500</v>
      </c>
      <c r="D94" s="17">
        <f t="shared" si="1"/>
        <v>35000</v>
      </c>
    </row>
    <row r="95" spans="1:4" x14ac:dyDescent="0.25">
      <c r="A95" s="11" t="s">
        <v>266</v>
      </c>
      <c r="B95" s="21">
        <v>10</v>
      </c>
      <c r="C95" s="23">
        <v>2000</v>
      </c>
      <c r="D95" s="17">
        <f t="shared" si="1"/>
        <v>20000</v>
      </c>
    </row>
    <row r="96" spans="1:4" ht="75" x14ac:dyDescent="0.25">
      <c r="A96" s="11" t="s">
        <v>267</v>
      </c>
      <c r="B96" s="21">
        <v>60</v>
      </c>
      <c r="C96" s="23">
        <v>500</v>
      </c>
      <c r="D96" s="17">
        <f t="shared" si="1"/>
        <v>30000</v>
      </c>
    </row>
    <row r="97" spans="1:4" x14ac:dyDescent="0.25">
      <c r="A97" s="11"/>
      <c r="C97" s="23">
        <v>700</v>
      </c>
      <c r="D97" s="17">
        <f t="shared" si="1"/>
        <v>0</v>
      </c>
    </row>
    <row r="98" spans="1:4" ht="30" x14ac:dyDescent="0.25">
      <c r="A98" s="11" t="s">
        <v>268</v>
      </c>
      <c r="B98" s="21">
        <v>50</v>
      </c>
      <c r="C98" s="23">
        <v>700</v>
      </c>
      <c r="D98" s="17">
        <f t="shared" si="1"/>
        <v>35000</v>
      </c>
    </row>
    <row r="99" spans="1:4" x14ac:dyDescent="0.25">
      <c r="A99" s="11" t="s">
        <v>269</v>
      </c>
      <c r="B99" s="21">
        <v>2</v>
      </c>
      <c r="C99" s="23">
        <v>50</v>
      </c>
      <c r="D99" s="17">
        <f t="shared" si="1"/>
        <v>100</v>
      </c>
    </row>
    <row r="100" spans="1:4" ht="75" x14ac:dyDescent="0.25">
      <c r="A100" s="11" t="s">
        <v>270</v>
      </c>
      <c r="B100" s="21">
        <v>4</v>
      </c>
      <c r="C100" s="23">
        <v>50</v>
      </c>
      <c r="D100" s="17">
        <f t="shared" si="1"/>
        <v>200</v>
      </c>
    </row>
    <row r="101" spans="1:4" x14ac:dyDescent="0.25">
      <c r="A101" s="11" t="s">
        <v>271</v>
      </c>
      <c r="B101" s="21">
        <v>72</v>
      </c>
      <c r="C101" s="23">
        <v>50</v>
      </c>
      <c r="D101" s="17">
        <f t="shared" si="1"/>
        <v>3600</v>
      </c>
    </row>
    <row r="102" spans="1:4" x14ac:dyDescent="0.25">
      <c r="A102" s="11" t="s">
        <v>272</v>
      </c>
      <c r="B102" s="21">
        <v>1</v>
      </c>
      <c r="C102" s="23">
        <v>100</v>
      </c>
      <c r="D102" s="17">
        <f t="shared" si="1"/>
        <v>100</v>
      </c>
    </row>
    <row r="103" spans="1:4" x14ac:dyDescent="0.25">
      <c r="A103" s="11" t="s">
        <v>273</v>
      </c>
      <c r="B103" s="21">
        <v>1</v>
      </c>
      <c r="C103" s="23">
        <v>100</v>
      </c>
      <c r="D103" s="17">
        <f t="shared" si="1"/>
        <v>100</v>
      </c>
    </row>
    <row r="104" spans="1:4" ht="30" x14ac:dyDescent="0.25">
      <c r="A104" s="11" t="s">
        <v>274</v>
      </c>
      <c r="B104" s="21">
        <v>2</v>
      </c>
      <c r="C104" s="23">
        <v>1000</v>
      </c>
      <c r="D104" s="17">
        <f t="shared" si="1"/>
        <v>2000</v>
      </c>
    </row>
    <row r="105" spans="1:4" ht="30" x14ac:dyDescent="0.25">
      <c r="A105" s="11" t="s">
        <v>275</v>
      </c>
      <c r="B105" s="21">
        <v>2</v>
      </c>
      <c r="C105" s="23">
        <v>800</v>
      </c>
      <c r="D105" s="17">
        <f t="shared" si="1"/>
        <v>1600</v>
      </c>
    </row>
    <row r="106" spans="1:4" x14ac:dyDescent="0.25">
      <c r="A106" s="11" t="s">
        <v>276</v>
      </c>
      <c r="B106" s="21">
        <v>72</v>
      </c>
      <c r="C106" s="23">
        <v>100</v>
      </c>
      <c r="D106" s="17">
        <f t="shared" si="1"/>
        <v>7200</v>
      </c>
    </row>
    <row r="107" spans="1:4" x14ac:dyDescent="0.25">
      <c r="A107" s="11" t="s">
        <v>277</v>
      </c>
      <c r="B107" s="21">
        <v>0</v>
      </c>
      <c r="C107" s="23"/>
      <c r="D107" s="17">
        <f t="shared" si="1"/>
        <v>0</v>
      </c>
    </row>
    <row r="108" spans="1:4" ht="45" x14ac:dyDescent="0.25">
      <c r="A108" s="11" t="s">
        <v>278</v>
      </c>
      <c r="B108" s="21">
        <v>2</v>
      </c>
      <c r="C108" s="23">
        <v>55000</v>
      </c>
      <c r="D108" s="17">
        <f t="shared" si="1"/>
        <v>110000</v>
      </c>
    </row>
    <row r="109" spans="1:4" ht="30" x14ac:dyDescent="0.25">
      <c r="A109" s="11" t="s">
        <v>279</v>
      </c>
      <c r="B109" s="21">
        <v>1</v>
      </c>
      <c r="C109" s="23">
        <v>45000</v>
      </c>
      <c r="D109" s="17">
        <f t="shared" si="1"/>
        <v>45000</v>
      </c>
    </row>
    <row r="110" spans="1:4" ht="60" x14ac:dyDescent="0.25">
      <c r="A110" s="11" t="s">
        <v>280</v>
      </c>
      <c r="B110" s="21">
        <v>2</v>
      </c>
      <c r="C110" s="23">
        <v>2200</v>
      </c>
      <c r="D110" s="17">
        <f t="shared" si="1"/>
        <v>4400</v>
      </c>
    </row>
    <row r="111" spans="1:4" x14ac:dyDescent="0.25">
      <c r="A111" s="11" t="s">
        <v>281</v>
      </c>
      <c r="B111" s="21">
        <v>10</v>
      </c>
      <c r="C111" s="23">
        <v>1000</v>
      </c>
      <c r="D111" s="17">
        <f t="shared" si="1"/>
        <v>10000</v>
      </c>
    </row>
    <row r="112" spans="1:4" ht="30" x14ac:dyDescent="0.25">
      <c r="A112" s="11" t="s">
        <v>282</v>
      </c>
      <c r="B112" s="21">
        <v>3</v>
      </c>
      <c r="C112" s="23"/>
      <c r="D112" s="17">
        <f t="shared" si="1"/>
        <v>0</v>
      </c>
    </row>
    <row r="113" spans="1:4" x14ac:dyDescent="0.25">
      <c r="A113" s="11" t="s">
        <v>283</v>
      </c>
      <c r="B113" s="21">
        <v>1</v>
      </c>
      <c r="C113" s="23">
        <v>2700</v>
      </c>
      <c r="D113" s="17">
        <f t="shared" si="1"/>
        <v>2700</v>
      </c>
    </row>
    <row r="114" spans="1:4" ht="30" x14ac:dyDescent="0.25">
      <c r="A114" s="11" t="s">
        <v>284</v>
      </c>
      <c r="B114" s="21">
        <v>3</v>
      </c>
      <c r="C114" s="23"/>
      <c r="D114" s="17">
        <f t="shared" si="1"/>
        <v>0</v>
      </c>
    </row>
    <row r="115" spans="1:4" ht="30" x14ac:dyDescent="0.25">
      <c r="A115" s="11" t="s">
        <v>285</v>
      </c>
      <c r="B115" s="21">
        <v>2</v>
      </c>
      <c r="C115" s="23"/>
      <c r="D115" s="17">
        <f t="shared" si="1"/>
        <v>0</v>
      </c>
    </row>
    <row r="116" spans="1:4" ht="30" x14ac:dyDescent="0.25">
      <c r="A116" s="11" t="s">
        <v>286</v>
      </c>
      <c r="B116" s="21">
        <v>2</v>
      </c>
      <c r="C116" s="23"/>
      <c r="D116" s="17">
        <f t="shared" si="1"/>
        <v>0</v>
      </c>
    </row>
    <row r="117" spans="1:4" ht="30" x14ac:dyDescent="0.25">
      <c r="A117" s="11" t="s">
        <v>287</v>
      </c>
      <c r="B117" s="21">
        <v>1</v>
      </c>
      <c r="C117" s="23"/>
      <c r="D117" s="17">
        <f t="shared" si="1"/>
        <v>0</v>
      </c>
    </row>
    <row r="118" spans="1:4" x14ac:dyDescent="0.25">
      <c r="A118" s="12" t="s">
        <v>291</v>
      </c>
      <c r="B118" s="21">
        <v>1200</v>
      </c>
      <c r="C118" s="17">
        <v>3500</v>
      </c>
      <c r="D118" s="17">
        <f t="shared" si="1"/>
        <v>4200000</v>
      </c>
    </row>
    <row r="119" spans="1:4" x14ac:dyDescent="0.25">
      <c r="A119" s="12" t="s">
        <v>292</v>
      </c>
      <c r="B119" s="21">
        <v>800</v>
      </c>
      <c r="C119" s="17">
        <v>1700</v>
      </c>
      <c r="D119" s="17">
        <f t="shared" si="1"/>
        <v>1360000</v>
      </c>
    </row>
    <row r="120" spans="1:4" x14ac:dyDescent="0.25">
      <c r="A120" s="12" t="s">
        <v>293</v>
      </c>
      <c r="B120" s="21">
        <v>500</v>
      </c>
      <c r="C120" s="17">
        <v>35000</v>
      </c>
      <c r="D120" s="17">
        <f t="shared" si="1"/>
        <v>17500000</v>
      </c>
    </row>
    <row r="121" spans="1:4" x14ac:dyDescent="0.25">
      <c r="D121" s="17">
        <f>SUM(D2:D120)</f>
        <v>26134390</v>
      </c>
    </row>
    <row r="122" spans="1:4" x14ac:dyDescent="0.25">
      <c r="D122" s="17">
        <f>'Hospital Equipment'!P35</f>
        <v>10493000</v>
      </c>
    </row>
    <row r="123" spans="1:4" x14ac:dyDescent="0.25">
      <c r="D123" s="17">
        <f>SUM(D121:D122)</f>
        <v>36627390</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O K i Y U F T B D G u m A A A A + A A A A B I A H A B D b 2 5 m a W c v U G F j a 2 F n Z S 5 4 b W w g o h g A K K A U A A A A A A A A A A A A A A A A A A A A A A A A A A A A h Y 8 x D o I w G E a v Q r r T l g p q y E 8 Z X C U x I R p X U i o 0 Q j G 0 W O 7 m 4 J G 8 g i S K u j l + L 2 9 4 3 + N 2 h 3 R s G + 8 q e 6 M 6 n a A A U + R J L b p S 6 S p B g z 3 5 a 5 R y 2 B X i X F T S m 2 R t 4 t G U C a q t v c S E O O e w W + C u r w i j N C D H b J u L W r Y F + s j q v + w r b W y h h U Q c D q 8 Y z v C K 4 S i K l j g M A y A z h k z p r 8 K m Y k y B / E D Y D I 0 d e s m l 9 v c 5 k H k C e b / g T 1 B L A w Q U A A I A C A A 4 q J h Q 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O K i Y U C i K R 7 g O A A A A E Q A A A B M A H A B G b 3 J t d W x h c y 9 T Z W N 0 a W 9 u M S 5 t I K I Y A C i g F A A A A A A A A A A A A A A A A A A A A A A A A A A A A C t O T S 7 J z M 9 T C I b Q h t Y A U E s B A i 0 A F A A C A A g A O K i Y U F T B D G u m A A A A + A A A A B I A A A A A A A A A A A A A A A A A A A A A A E N v b m Z p Z y 9 Q Y W N r Y W d l L n h t b F B L A Q I t A B Q A A g A I A D i o m F A P y u m r p A A A A O k A A A A T A A A A A A A A A A A A A A A A A P I A A A B b Q 2 9 u d G V u d F 9 U e X B l c 1 0 u e G 1 s U E s B A i 0 A F A A C A A g A O K i Y U C 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C 3 F W 3 z E z C Z M s X L D R l E B u 1 M A A A A A A g A A A A A A A 2 Y A A M A A A A A Q A A A A / R j 8 i l y A S M Q b 3 Q F 9 b Q a Z 7 w A A A A A E g A A A o A A A A B A A A A B b A b k G 2 8 x a e r 1 0 K h X p / 1 3 B U A A A A J Q l s 9 Y D W a o U u 4 X 6 E w 3 D D l K i k R B o x C k 6 9 o 6 3 k E 9 j 3 7 A i c K 0 P N z p s r x i 1 w e J S o + + n 3 P 7 X e k S j h f U g s 7 T W i 4 W 7 P v i s I v O z z b L v j 2 m k A S 8 R 7 Z k d F A A A A B Y J 0 E Y W R 1 q S 0 N r L m J 6 5 Q 0 Y 0 F 5 J U < / D a t a M a s h u p > 
</file>

<file path=customXml/itemProps1.xml><?xml version="1.0" encoding="utf-8"?>
<ds:datastoreItem xmlns:ds="http://schemas.openxmlformats.org/officeDocument/2006/customXml" ds:itemID="{339FC9A6-0BAB-4BEE-B8EF-1D1D57CB667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Summary</vt:lpstr>
      <vt:lpstr>Critical Medical Consumables</vt:lpstr>
      <vt:lpstr>PCR reagents and consumables</vt:lpstr>
      <vt:lpstr>Total PCR Reagents and consumab</vt:lpstr>
      <vt:lpstr>PPE</vt:lpstr>
      <vt:lpstr>Total PPE</vt:lpstr>
      <vt:lpstr>Hospital Equipment</vt:lpstr>
      <vt:lpstr>Total HosEq</vt:lpstr>
      <vt:lpstr>'PCR reagents and consumables'!Extract</vt:lpstr>
      <vt:lpstr>PPE!Extract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Tamar Tsenteradze</dc:creator>
  <cp:lastModifiedBy>Tamar Gabunia</cp:lastModifiedBy>
  <dcterms:created xsi:type="dcterms:W3CDTF">2020-04-24T17:00:32Z</dcterms:created>
  <dcterms:modified xsi:type="dcterms:W3CDTF">2020-05-04T14:14:33Z</dcterms:modified>
</cp:coreProperties>
</file>